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awaiioimt.sharepoint.com/teams/DBEDTHSEOAll/Shared Documents/Powering Past Fossil Fuels Task Force/Master Schedule/To Publish/"/>
    </mc:Choice>
  </mc:AlternateContent>
  <xr:revisionPtr revIDLastSave="16" documentId="11_33A32787C7D3FDD45D2BF574244C447632C54DF2" xr6:coauthVersionLast="47" xr6:coauthVersionMax="47" xr10:uidLastSave="{F750BEEC-4C5A-4779-BB8F-FA6F5C865DEA}"/>
  <bookViews>
    <workbookView xWindow="-120" yWindow="-120" windowWidth="29040" windowHeight="15720" activeTab="2" xr2:uid="{00000000-000D-0000-FFFF-FFFF00000000}"/>
  </bookViews>
  <sheets>
    <sheet name="Battery Bonus, All Islands" sheetId="9" r:id="rId1"/>
    <sheet name="Battery Bonus Maui" sheetId="10" r:id="rId2"/>
    <sheet name="Battery Bonus O'ahu" sheetId="11" r:id="rId3"/>
  </sheets>
  <externalReferences>
    <externalReference r:id="rId4"/>
  </externalReferenc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0" i="11" l="1"/>
  <c r="H30" i="11"/>
  <c r="G30" i="11"/>
  <c r="E30" i="11"/>
  <c r="J30" i="11" s="1"/>
  <c r="H29" i="11"/>
  <c r="H28" i="9" s="1"/>
  <c r="G29" i="11"/>
  <c r="G28" i="9" s="1"/>
  <c r="E29" i="11"/>
  <c r="J28" i="11"/>
  <c r="I28" i="11"/>
  <c r="H28" i="11"/>
  <c r="G28" i="11"/>
  <c r="E28" i="11"/>
  <c r="H27" i="11"/>
  <c r="J27" i="11" s="1"/>
  <c r="G27" i="11"/>
  <c r="G26" i="9" s="1"/>
  <c r="J26" i="9" s="1"/>
  <c r="E27" i="11"/>
  <c r="J26" i="11"/>
  <c r="I26" i="11"/>
  <c r="E26" i="11"/>
  <c r="J25" i="11"/>
  <c r="I25" i="11"/>
  <c r="H25" i="11"/>
  <c r="G25" i="11"/>
  <c r="E25" i="11"/>
  <c r="H24" i="11"/>
  <c r="J24" i="11" s="1"/>
  <c r="G24" i="11"/>
  <c r="I24" i="11" s="1"/>
  <c r="E24" i="11"/>
  <c r="J23" i="11"/>
  <c r="I23" i="11"/>
  <c r="H23" i="11"/>
  <c r="H22" i="9" s="1"/>
  <c r="G23" i="11"/>
  <c r="E23" i="11"/>
  <c r="H22" i="11"/>
  <c r="H21" i="9" s="1"/>
  <c r="G22" i="11"/>
  <c r="G21" i="9" s="1"/>
  <c r="E22" i="11"/>
  <c r="I21" i="11"/>
  <c r="H21" i="11"/>
  <c r="J21" i="11" s="1"/>
  <c r="G21" i="11"/>
  <c r="E21" i="11"/>
  <c r="I20" i="11"/>
  <c r="H20" i="11"/>
  <c r="G20" i="11"/>
  <c r="E20" i="11"/>
  <c r="J20" i="11" s="1"/>
  <c r="H19" i="11"/>
  <c r="J19" i="11" s="1"/>
  <c r="G19" i="11"/>
  <c r="I19" i="11" s="1"/>
  <c r="E19" i="11"/>
  <c r="J18" i="11"/>
  <c r="I18" i="11"/>
  <c r="H18" i="11"/>
  <c r="G18" i="11"/>
  <c r="E18" i="11"/>
  <c r="H17" i="11"/>
  <c r="J17" i="11" s="1"/>
  <c r="G17" i="11"/>
  <c r="G16" i="9" s="1"/>
  <c r="E17" i="11"/>
  <c r="J16" i="11"/>
  <c r="I16" i="11"/>
  <c r="H16" i="11"/>
  <c r="G16" i="11"/>
  <c r="G15" i="9" s="1"/>
  <c r="E16" i="11"/>
  <c r="H15" i="11"/>
  <c r="G15" i="11"/>
  <c r="G14" i="9" s="1"/>
  <c r="J14" i="9" s="1"/>
  <c r="E15" i="11"/>
  <c r="J15" i="11" s="1"/>
  <c r="H14" i="11"/>
  <c r="J14" i="11" s="1"/>
  <c r="G14" i="11"/>
  <c r="I14" i="11" s="1"/>
  <c r="E14" i="11"/>
  <c r="J13" i="11"/>
  <c r="I13" i="11"/>
  <c r="H13" i="11"/>
  <c r="G13" i="11"/>
  <c r="E13" i="11"/>
  <c r="H12" i="11"/>
  <c r="H11" i="9" s="1"/>
  <c r="G12" i="11"/>
  <c r="G11" i="9" s="1"/>
  <c r="E12" i="11"/>
  <c r="J11" i="11"/>
  <c r="I11" i="11"/>
  <c r="H11" i="11"/>
  <c r="H10" i="9" s="1"/>
  <c r="G11" i="11"/>
  <c r="E11" i="11"/>
  <c r="H10" i="11"/>
  <c r="H9" i="9" s="1"/>
  <c r="G10" i="11"/>
  <c r="G9" i="9" s="1"/>
  <c r="E10" i="11"/>
  <c r="I9" i="11"/>
  <c r="H9" i="11"/>
  <c r="J9" i="11" s="1"/>
  <c r="G9" i="11"/>
  <c r="E9" i="11"/>
  <c r="I8" i="11"/>
  <c r="H8" i="11"/>
  <c r="G8" i="11"/>
  <c r="E8" i="11"/>
  <c r="J8" i="11" s="1"/>
  <c r="I7" i="11"/>
  <c r="E7" i="11"/>
  <c r="J7" i="11" s="1"/>
  <c r="J6" i="11"/>
  <c r="I6" i="11"/>
  <c r="E6" i="11"/>
  <c r="J5" i="11"/>
  <c r="I5" i="11"/>
  <c r="E5" i="11"/>
  <c r="I4" i="11"/>
  <c r="E4" i="11"/>
  <c r="J4" i="11" s="1"/>
  <c r="H30" i="10"/>
  <c r="H29" i="9" s="1"/>
  <c r="G30" i="10"/>
  <c r="I30" i="10" s="1"/>
  <c r="E30" i="10"/>
  <c r="J30" i="10" s="1"/>
  <c r="J29" i="10"/>
  <c r="I29" i="10"/>
  <c r="H29" i="10"/>
  <c r="E29" i="10"/>
  <c r="H28" i="10"/>
  <c r="H27" i="9" s="1"/>
  <c r="G28" i="10"/>
  <c r="G27" i="9" s="1"/>
  <c r="E28" i="10"/>
  <c r="J28" i="10" s="1"/>
  <c r="I27" i="10"/>
  <c r="H27" i="10"/>
  <c r="J27" i="10" s="1"/>
  <c r="G27" i="10"/>
  <c r="E27" i="10"/>
  <c r="I26" i="10"/>
  <c r="E26" i="10"/>
  <c r="J26" i="10" s="1"/>
  <c r="G25" i="10"/>
  <c r="I25" i="10" s="1"/>
  <c r="E25" i="10"/>
  <c r="J25" i="10" s="1"/>
  <c r="I24" i="10"/>
  <c r="E24" i="10"/>
  <c r="J24" i="10" s="1"/>
  <c r="J23" i="10"/>
  <c r="I23" i="10"/>
  <c r="E23" i="10"/>
  <c r="H22" i="10"/>
  <c r="G22" i="10"/>
  <c r="I22" i="10" s="1"/>
  <c r="E22" i="10"/>
  <c r="J22" i="10" s="1"/>
  <c r="H21" i="10"/>
  <c r="J21" i="10" s="1"/>
  <c r="G21" i="10"/>
  <c r="G20" i="9" s="1"/>
  <c r="J20" i="9" s="1"/>
  <c r="E21" i="10"/>
  <c r="J20" i="10"/>
  <c r="I20" i="10"/>
  <c r="E20" i="10"/>
  <c r="I19" i="10"/>
  <c r="E19" i="10"/>
  <c r="J19" i="10" s="1"/>
  <c r="I18" i="10"/>
  <c r="E18" i="10"/>
  <c r="J18" i="10" s="1"/>
  <c r="J17" i="10"/>
  <c r="I17" i="10"/>
  <c r="E17" i="10"/>
  <c r="J16" i="10"/>
  <c r="I16" i="10"/>
  <c r="E16" i="10"/>
  <c r="I15" i="10"/>
  <c r="E15" i="10"/>
  <c r="J15" i="10" s="1"/>
  <c r="I14" i="10"/>
  <c r="E14" i="10"/>
  <c r="J14" i="10" s="1"/>
  <c r="J13" i="10"/>
  <c r="I13" i="10"/>
  <c r="E13" i="10"/>
  <c r="J12" i="10"/>
  <c r="I12" i="10"/>
  <c r="E12" i="10"/>
  <c r="I11" i="10"/>
  <c r="E11" i="10"/>
  <c r="J11" i="10" s="1"/>
  <c r="I10" i="10"/>
  <c r="E10" i="10"/>
  <c r="J10" i="10" s="1"/>
  <c r="J9" i="10"/>
  <c r="I9" i="10"/>
  <c r="E9" i="10"/>
  <c r="J8" i="10"/>
  <c r="I8" i="10"/>
  <c r="E8" i="10"/>
  <c r="I7" i="10"/>
  <c r="E7" i="10"/>
  <c r="J7" i="10" s="1"/>
  <c r="I6" i="10"/>
  <c r="E6" i="10"/>
  <c r="J6" i="10" s="1"/>
  <c r="J5" i="10"/>
  <c r="I5" i="10"/>
  <c r="E5" i="10"/>
  <c r="J4" i="10"/>
  <c r="I4" i="10"/>
  <c r="E4" i="10"/>
  <c r="I29" i="9"/>
  <c r="F29" i="9"/>
  <c r="D29" i="9"/>
  <c r="E29" i="9" s="1"/>
  <c r="K29" i="9" s="1"/>
  <c r="C29" i="9"/>
  <c r="B29" i="9"/>
  <c r="I28" i="9"/>
  <c r="F28" i="9"/>
  <c r="D28" i="9"/>
  <c r="C28" i="9"/>
  <c r="E28" i="9" s="1"/>
  <c r="K28" i="9" s="1"/>
  <c r="B28" i="9"/>
  <c r="J28" i="9" s="1"/>
  <c r="I27" i="9"/>
  <c r="F27" i="9"/>
  <c r="D27" i="9"/>
  <c r="C27" i="9"/>
  <c r="E27" i="9" s="1"/>
  <c r="B27" i="9"/>
  <c r="I26" i="9"/>
  <c r="F26" i="9"/>
  <c r="D26" i="9"/>
  <c r="C26" i="9"/>
  <c r="E26" i="9" s="1"/>
  <c r="B26" i="9"/>
  <c r="J25" i="9"/>
  <c r="I25" i="9"/>
  <c r="H25" i="9"/>
  <c r="G25" i="9"/>
  <c r="F25" i="9"/>
  <c r="D25" i="9"/>
  <c r="C25" i="9"/>
  <c r="E25" i="9" s="1"/>
  <c r="K25" i="9" s="1"/>
  <c r="B25" i="9"/>
  <c r="I24" i="9"/>
  <c r="H24" i="9"/>
  <c r="G24" i="9"/>
  <c r="J24" i="9" s="1"/>
  <c r="F24" i="9"/>
  <c r="D24" i="9"/>
  <c r="E24" i="9" s="1"/>
  <c r="K24" i="9" s="1"/>
  <c r="C24" i="9"/>
  <c r="B24" i="9"/>
  <c r="I23" i="9"/>
  <c r="F23" i="9"/>
  <c r="D23" i="9"/>
  <c r="E23" i="9" s="1"/>
  <c r="C23" i="9"/>
  <c r="B23" i="9"/>
  <c r="I22" i="9"/>
  <c r="G22" i="9"/>
  <c r="F22" i="9"/>
  <c r="D22" i="9"/>
  <c r="C22" i="9"/>
  <c r="E22" i="9" s="1"/>
  <c r="K22" i="9" s="1"/>
  <c r="B22" i="9"/>
  <c r="J22" i="9" s="1"/>
  <c r="I21" i="9"/>
  <c r="F21" i="9"/>
  <c r="D21" i="9"/>
  <c r="C21" i="9"/>
  <c r="E21" i="9" s="1"/>
  <c r="B21" i="9"/>
  <c r="I20" i="9"/>
  <c r="F20" i="9"/>
  <c r="D20" i="9"/>
  <c r="C20" i="9"/>
  <c r="E20" i="9" s="1"/>
  <c r="B20" i="9"/>
  <c r="J19" i="9"/>
  <c r="I19" i="9"/>
  <c r="H19" i="9"/>
  <c r="G19" i="9"/>
  <c r="F19" i="9"/>
  <c r="D19" i="9"/>
  <c r="C19" i="9"/>
  <c r="E19" i="9" s="1"/>
  <c r="K19" i="9" s="1"/>
  <c r="B19" i="9"/>
  <c r="I18" i="9"/>
  <c r="H18" i="9"/>
  <c r="G18" i="9"/>
  <c r="J18" i="9" s="1"/>
  <c r="F18" i="9"/>
  <c r="D18" i="9"/>
  <c r="E18" i="9" s="1"/>
  <c r="K18" i="9" s="1"/>
  <c r="C18" i="9"/>
  <c r="B18" i="9"/>
  <c r="I17" i="9"/>
  <c r="H17" i="9"/>
  <c r="G17" i="9"/>
  <c r="F17" i="9"/>
  <c r="D17" i="9"/>
  <c r="E17" i="9" s="1"/>
  <c r="K17" i="9" s="1"/>
  <c r="C17" i="9"/>
  <c r="B17" i="9"/>
  <c r="J17" i="9" s="1"/>
  <c r="I16" i="9"/>
  <c r="F16" i="9"/>
  <c r="D16" i="9"/>
  <c r="C16" i="9"/>
  <c r="E16" i="9" s="1"/>
  <c r="B16" i="9"/>
  <c r="I15" i="9"/>
  <c r="H15" i="9"/>
  <c r="F15" i="9"/>
  <c r="D15" i="9"/>
  <c r="C15" i="9"/>
  <c r="E15" i="9" s="1"/>
  <c r="K15" i="9" s="1"/>
  <c r="B15" i="9"/>
  <c r="I14" i="9"/>
  <c r="H14" i="9"/>
  <c r="F14" i="9"/>
  <c r="D14" i="9"/>
  <c r="C14" i="9"/>
  <c r="E14" i="9" s="1"/>
  <c r="K14" i="9" s="1"/>
  <c r="B14" i="9"/>
  <c r="I13" i="9"/>
  <c r="H13" i="9"/>
  <c r="F13" i="9"/>
  <c r="D13" i="9"/>
  <c r="E13" i="9" s="1"/>
  <c r="K13" i="9" s="1"/>
  <c r="C13" i="9"/>
  <c r="B13" i="9"/>
  <c r="I12" i="9"/>
  <c r="H12" i="9"/>
  <c r="G12" i="9"/>
  <c r="J12" i="9" s="1"/>
  <c r="F12" i="9"/>
  <c r="D12" i="9"/>
  <c r="E12" i="9" s="1"/>
  <c r="K12" i="9" s="1"/>
  <c r="C12" i="9"/>
  <c r="B12" i="9"/>
  <c r="I11" i="9"/>
  <c r="F11" i="9"/>
  <c r="D11" i="9"/>
  <c r="E11" i="9" s="1"/>
  <c r="C11" i="9"/>
  <c r="B11" i="9"/>
  <c r="I10" i="9"/>
  <c r="G10" i="9"/>
  <c r="F10" i="9"/>
  <c r="D10" i="9"/>
  <c r="C10" i="9"/>
  <c r="E10" i="9" s="1"/>
  <c r="K10" i="9" s="1"/>
  <c r="B10" i="9"/>
  <c r="J10" i="9" s="1"/>
  <c r="I9" i="9"/>
  <c r="F9" i="9"/>
  <c r="D9" i="9"/>
  <c r="C9" i="9"/>
  <c r="E9" i="9" s="1"/>
  <c r="B9" i="9"/>
  <c r="J8" i="9"/>
  <c r="I8" i="9"/>
  <c r="G8" i="9"/>
  <c r="F8" i="9"/>
  <c r="D8" i="9"/>
  <c r="C8" i="9"/>
  <c r="E8" i="9" s="1"/>
  <c r="B8" i="9"/>
  <c r="J7" i="9"/>
  <c r="I7" i="9"/>
  <c r="H7" i="9"/>
  <c r="K7" i="9" s="1"/>
  <c r="G7" i="9"/>
  <c r="F7" i="9"/>
  <c r="E7" i="9"/>
  <c r="D7" i="9"/>
  <c r="C7" i="9"/>
  <c r="B7" i="9"/>
  <c r="I6" i="9"/>
  <c r="H6" i="9"/>
  <c r="G6" i="9"/>
  <c r="J6" i="9" s="1"/>
  <c r="F6" i="9"/>
  <c r="D6" i="9"/>
  <c r="E6" i="9" s="1"/>
  <c r="K6" i="9" s="1"/>
  <c r="C6" i="9"/>
  <c r="B6" i="9"/>
  <c r="I5" i="9"/>
  <c r="H5" i="9"/>
  <c r="G5" i="9"/>
  <c r="F5" i="9"/>
  <c r="D5" i="9"/>
  <c r="E5" i="9" s="1"/>
  <c r="K5" i="9" s="1"/>
  <c r="C5" i="9"/>
  <c r="B5" i="9"/>
  <c r="J5" i="9" s="1"/>
  <c r="I4" i="9"/>
  <c r="H4" i="9"/>
  <c r="G4" i="9"/>
  <c r="F4" i="9"/>
  <c r="D4" i="9"/>
  <c r="C4" i="9"/>
  <c r="E4" i="9" s="1"/>
  <c r="K4" i="9" s="1"/>
  <c r="B4" i="9"/>
  <c r="J4" i="9" s="1"/>
  <c r="I3" i="9"/>
  <c r="G3" i="9"/>
  <c r="F3" i="9"/>
  <c r="D3" i="9"/>
  <c r="C3" i="9"/>
  <c r="E3" i="9" s="1"/>
  <c r="K3" i="9" s="1"/>
  <c r="B3" i="9"/>
  <c r="J3" i="9" s="1"/>
  <c r="J21" i="9" l="1"/>
  <c r="J27" i="9"/>
  <c r="J11" i="9"/>
  <c r="J29" i="9"/>
  <c r="J23" i="9"/>
  <c r="K27" i="9"/>
  <c r="K11" i="9"/>
  <c r="K21" i="9"/>
  <c r="J15" i="9"/>
  <c r="J9" i="9"/>
  <c r="K9" i="9"/>
  <c r="J16" i="9"/>
  <c r="I21" i="10"/>
  <c r="G23" i="9"/>
  <c r="I29" i="11"/>
  <c r="H23" i="9"/>
  <c r="K23" i="9" s="1"/>
  <c r="H8" i="9"/>
  <c r="K8" i="9" s="1"/>
  <c r="H20" i="9"/>
  <c r="K20" i="9" s="1"/>
  <c r="H26" i="9"/>
  <c r="K26" i="9" s="1"/>
  <c r="G13" i="9"/>
  <c r="J13" i="9" s="1"/>
  <c r="I12" i="11"/>
  <c r="J29" i="11"/>
  <c r="J12" i="11"/>
  <c r="I17" i="11"/>
  <c r="H16" i="9"/>
  <c r="K16" i="9" s="1"/>
  <c r="I28" i="10"/>
  <c r="I10" i="11"/>
  <c r="I22" i="11"/>
  <c r="I27" i="11"/>
  <c r="J10" i="11"/>
  <c r="I15" i="11"/>
  <c r="J22" i="11"/>
  <c r="G29" i="9"/>
</calcChain>
</file>

<file path=xl/sharedStrings.xml><?xml version="1.0" encoding="utf-8"?>
<sst xmlns="http://schemas.openxmlformats.org/spreadsheetml/2006/main" count="49" uniqueCount="25">
  <si>
    <t>Confirmed MW in Pipeline</t>
  </si>
  <si>
    <t>Confirmed Units in Pipeline</t>
  </si>
  <si>
    <t>Units Rejected</t>
  </si>
  <si>
    <t>MW Verified or In-Progress</t>
  </si>
  <si>
    <t>Units verified or In-progress</t>
  </si>
  <si>
    <t>Incentives Paid</t>
  </si>
  <si>
    <t>MW Capacity (PV &amp; Committed)</t>
  </si>
  <si>
    <t>MW 
(PV capacity)</t>
  </si>
  <si>
    <t>MW 
(committed capacity)</t>
  </si>
  <si>
    <t>Units installed</t>
  </si>
  <si>
    <t>Date</t>
  </si>
  <si>
    <t>All Islands</t>
  </si>
  <si>
    <t>Units</t>
  </si>
  <si>
    <t>MW</t>
  </si>
  <si>
    <t>$</t>
  </si>
  <si>
    <t>Committed PV &amp; Battery</t>
  </si>
  <si>
    <t>MW (PV capacity)</t>
  </si>
  <si>
    <t>MW (committed capacity)</t>
  </si>
  <si>
    <t>Rejections</t>
  </si>
  <si>
    <t>Pending (in Progress &amp; Verified)</t>
  </si>
  <si>
    <t>Cumulative Incentives Issued</t>
  </si>
  <si>
    <t>Cumulative Installed</t>
  </si>
  <si>
    <t>Maui</t>
  </si>
  <si>
    <t>O'ahu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</si>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</sst>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42" fontId="0" fillId="0" borderId="0" xfId="1" applyNumberFormat="1" applyFont="1"/>
    <xf numFmtId="17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44" fontId="0" fillId="0" borderId="0" xfId="1" applyFont="1"/>
    <xf numFmtId="0" fontId="0" fillId="2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Battery Bonus Program: Participants (Units)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'Battery Bonus, All Islands'!$B$2</c:f>
              <c:strCache>
                <c:ptCount val="1"/>
                <c:pt idx="0">
                  <c:v>Units installed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'Battery Bonus, All Islands'!$A$3:$A$29</c:f>
              <c:numCache>
                <c:formatCode>mmm\-yy</c:formatCode>
                <c:ptCount val="27"/>
                <c:pt idx="0">
                  <c:v>44378</c:v>
                </c:pt>
                <c:pt idx="1">
                  <c:v>44409</c:v>
                </c:pt>
                <c:pt idx="2">
                  <c:v>44440</c:v>
                </c:pt>
                <c:pt idx="3">
                  <c:v>44470</c:v>
                </c:pt>
                <c:pt idx="4">
                  <c:v>44501</c:v>
                </c:pt>
                <c:pt idx="5">
                  <c:v>44531</c:v>
                </c:pt>
                <c:pt idx="6">
                  <c:v>44562</c:v>
                </c:pt>
                <c:pt idx="7">
                  <c:v>44593</c:v>
                </c:pt>
                <c:pt idx="8">
                  <c:v>44621</c:v>
                </c:pt>
                <c:pt idx="9">
                  <c:v>44652</c:v>
                </c:pt>
                <c:pt idx="10">
                  <c:v>44682</c:v>
                </c:pt>
                <c:pt idx="11">
                  <c:v>44713</c:v>
                </c:pt>
                <c:pt idx="12">
                  <c:v>44743</c:v>
                </c:pt>
                <c:pt idx="13">
                  <c:v>44774</c:v>
                </c:pt>
                <c:pt idx="14">
                  <c:v>44805</c:v>
                </c:pt>
                <c:pt idx="15">
                  <c:v>44835</c:v>
                </c:pt>
                <c:pt idx="16">
                  <c:v>44866</c:v>
                </c:pt>
                <c:pt idx="17">
                  <c:v>44896</c:v>
                </c:pt>
                <c:pt idx="18">
                  <c:v>44927</c:v>
                </c:pt>
                <c:pt idx="19">
                  <c:v>44958</c:v>
                </c:pt>
                <c:pt idx="20">
                  <c:v>44986</c:v>
                </c:pt>
                <c:pt idx="21">
                  <c:v>45017</c:v>
                </c:pt>
                <c:pt idx="22">
                  <c:v>45047</c:v>
                </c:pt>
                <c:pt idx="23">
                  <c:v>45078</c:v>
                </c:pt>
                <c:pt idx="24">
                  <c:v>45108</c:v>
                </c:pt>
                <c:pt idx="25">
                  <c:v>45139</c:v>
                </c:pt>
                <c:pt idx="26">
                  <c:v>45170</c:v>
                </c:pt>
              </c:numCache>
            </c:numRef>
          </c:xVal>
          <c:yVal>
            <c:numRef>
              <c:f>'Battery Bonus, All Islands'!$B$3:$B$29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28</c:v>
                </c:pt>
                <c:pt idx="6">
                  <c:v>62</c:v>
                </c:pt>
                <c:pt idx="7">
                  <c:v>114</c:v>
                </c:pt>
                <c:pt idx="8">
                  <c:v>178</c:v>
                </c:pt>
                <c:pt idx="9">
                  <c:v>235</c:v>
                </c:pt>
                <c:pt idx="10">
                  <c:v>303</c:v>
                </c:pt>
                <c:pt idx="11">
                  <c:v>390</c:v>
                </c:pt>
                <c:pt idx="12">
                  <c:v>464</c:v>
                </c:pt>
                <c:pt idx="13">
                  <c:v>586</c:v>
                </c:pt>
                <c:pt idx="14">
                  <c:v>651</c:v>
                </c:pt>
                <c:pt idx="15">
                  <c:v>686</c:v>
                </c:pt>
                <c:pt idx="16">
                  <c:v>822</c:v>
                </c:pt>
                <c:pt idx="17">
                  <c:v>942</c:v>
                </c:pt>
                <c:pt idx="18">
                  <c:v>1040</c:v>
                </c:pt>
                <c:pt idx="19">
                  <c:v>1156</c:v>
                </c:pt>
                <c:pt idx="20">
                  <c:v>1270</c:v>
                </c:pt>
                <c:pt idx="21">
                  <c:v>1572</c:v>
                </c:pt>
                <c:pt idx="22">
                  <c:v>1767</c:v>
                </c:pt>
                <c:pt idx="23">
                  <c:v>1945</c:v>
                </c:pt>
                <c:pt idx="24">
                  <c:v>2005</c:v>
                </c:pt>
                <c:pt idx="25">
                  <c:v>2259</c:v>
                </c:pt>
                <c:pt idx="26">
                  <c:v>2492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B4C-4572-BA75-74E4A2295AF6}"/>
            </c:ext>
          </c:extLst>
        </c:ser>
        <c:ser>
          <c:idx val="1"/>
          <c:order val="1"/>
          <c:tx>
            <c:strRef>
              <c:f>'Battery Bonus, All Islands'!$G$2</c:f>
              <c:strCache>
                <c:ptCount val="1"/>
                <c:pt idx="0">
                  <c:v>Units verified or In-progress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'Battery Bonus, All Islands'!$A$3:$A$29</c:f>
              <c:numCache>
                <c:formatCode>mmm\-yy</c:formatCode>
                <c:ptCount val="27"/>
                <c:pt idx="0">
                  <c:v>44378</c:v>
                </c:pt>
                <c:pt idx="1">
                  <c:v>44409</c:v>
                </c:pt>
                <c:pt idx="2">
                  <c:v>44440</c:v>
                </c:pt>
                <c:pt idx="3">
                  <c:v>44470</c:v>
                </c:pt>
                <c:pt idx="4">
                  <c:v>44501</c:v>
                </c:pt>
                <c:pt idx="5">
                  <c:v>44531</c:v>
                </c:pt>
                <c:pt idx="6">
                  <c:v>44562</c:v>
                </c:pt>
                <c:pt idx="7">
                  <c:v>44593</c:v>
                </c:pt>
                <c:pt idx="8">
                  <c:v>44621</c:v>
                </c:pt>
                <c:pt idx="9">
                  <c:v>44652</c:v>
                </c:pt>
                <c:pt idx="10">
                  <c:v>44682</c:v>
                </c:pt>
                <c:pt idx="11">
                  <c:v>44713</c:v>
                </c:pt>
                <c:pt idx="12">
                  <c:v>44743</c:v>
                </c:pt>
                <c:pt idx="13">
                  <c:v>44774</c:v>
                </c:pt>
                <c:pt idx="14">
                  <c:v>44805</c:v>
                </c:pt>
                <c:pt idx="15">
                  <c:v>44835</c:v>
                </c:pt>
                <c:pt idx="16">
                  <c:v>44866</c:v>
                </c:pt>
                <c:pt idx="17">
                  <c:v>44896</c:v>
                </c:pt>
                <c:pt idx="18">
                  <c:v>44927</c:v>
                </c:pt>
                <c:pt idx="19">
                  <c:v>44958</c:v>
                </c:pt>
                <c:pt idx="20">
                  <c:v>44986</c:v>
                </c:pt>
                <c:pt idx="21">
                  <c:v>45017</c:v>
                </c:pt>
                <c:pt idx="22">
                  <c:v>45047</c:v>
                </c:pt>
                <c:pt idx="23">
                  <c:v>45078</c:v>
                </c:pt>
                <c:pt idx="24">
                  <c:v>45108</c:v>
                </c:pt>
                <c:pt idx="25">
                  <c:v>45139</c:v>
                </c:pt>
                <c:pt idx="26">
                  <c:v>45170</c:v>
                </c:pt>
              </c:numCache>
            </c:numRef>
          </c:xVal>
          <c:yVal>
            <c:numRef>
              <c:f>'Battery Bonus, All Islands'!$G$3:$G$29</c:f>
              <c:numCache>
                <c:formatCode>General</c:formatCode>
                <c:ptCount val="27"/>
                <c:pt idx="0">
                  <c:v>0</c:v>
                </c:pt>
                <c:pt idx="1">
                  <c:v>31</c:v>
                </c:pt>
                <c:pt idx="2">
                  <c:v>149</c:v>
                </c:pt>
                <c:pt idx="3">
                  <c:v>280</c:v>
                </c:pt>
                <c:pt idx="4">
                  <c:v>462</c:v>
                </c:pt>
                <c:pt idx="5">
                  <c:v>566</c:v>
                </c:pt>
                <c:pt idx="6">
                  <c:v>664</c:v>
                </c:pt>
                <c:pt idx="7">
                  <c:v>653</c:v>
                </c:pt>
                <c:pt idx="8">
                  <c:v>709</c:v>
                </c:pt>
                <c:pt idx="9">
                  <c:v>758</c:v>
                </c:pt>
                <c:pt idx="10">
                  <c:v>863</c:v>
                </c:pt>
                <c:pt idx="11">
                  <c:v>885</c:v>
                </c:pt>
                <c:pt idx="12">
                  <c:v>956</c:v>
                </c:pt>
                <c:pt idx="13">
                  <c:v>1098</c:v>
                </c:pt>
                <c:pt idx="14">
                  <c:v>1187</c:v>
                </c:pt>
                <c:pt idx="15">
                  <c:v>1361</c:v>
                </c:pt>
                <c:pt idx="16">
                  <c:v>1526</c:v>
                </c:pt>
                <c:pt idx="17">
                  <c:v>1617</c:v>
                </c:pt>
                <c:pt idx="18">
                  <c:v>1786</c:v>
                </c:pt>
                <c:pt idx="19">
                  <c:v>1955</c:v>
                </c:pt>
                <c:pt idx="20">
                  <c:v>2223</c:v>
                </c:pt>
                <c:pt idx="21">
                  <c:v>2262</c:v>
                </c:pt>
                <c:pt idx="22">
                  <c:v>2393</c:v>
                </c:pt>
                <c:pt idx="23">
                  <c:v>2487</c:v>
                </c:pt>
                <c:pt idx="24">
                  <c:v>2643</c:v>
                </c:pt>
                <c:pt idx="25">
                  <c:v>2663</c:v>
                </c:pt>
                <c:pt idx="26">
                  <c:v>2832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B4C-4572-BA75-74E4A2295AF6}"/>
            </c:ext>
          </c:extLst>
        </c:ser>
        <c:ser>
          <c:idx val="2"/>
          <c:order val="2"/>
          <c:tx>
            <c:strRef>
              <c:f>'Battery Bonus, All Islands'!$J$2</c:f>
              <c:strCache>
                <c:ptCount val="1"/>
                <c:pt idx="0">
                  <c:v>Confirmed Units in Pipeline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'Battery Bonus, All Islands'!$A$3:$A$29</c:f>
              <c:numCache>
                <c:formatCode>mmm\-yy</c:formatCode>
                <c:ptCount val="27"/>
                <c:pt idx="0">
                  <c:v>44378</c:v>
                </c:pt>
                <c:pt idx="1">
                  <c:v>44409</c:v>
                </c:pt>
                <c:pt idx="2">
                  <c:v>44440</c:v>
                </c:pt>
                <c:pt idx="3">
                  <c:v>44470</c:v>
                </c:pt>
                <c:pt idx="4">
                  <c:v>44501</c:v>
                </c:pt>
                <c:pt idx="5">
                  <c:v>44531</c:v>
                </c:pt>
                <c:pt idx="6">
                  <c:v>44562</c:v>
                </c:pt>
                <c:pt idx="7">
                  <c:v>44593</c:v>
                </c:pt>
                <c:pt idx="8">
                  <c:v>44621</c:v>
                </c:pt>
                <c:pt idx="9">
                  <c:v>44652</c:v>
                </c:pt>
                <c:pt idx="10">
                  <c:v>44682</c:v>
                </c:pt>
                <c:pt idx="11">
                  <c:v>44713</c:v>
                </c:pt>
                <c:pt idx="12">
                  <c:v>44743</c:v>
                </c:pt>
                <c:pt idx="13">
                  <c:v>44774</c:v>
                </c:pt>
                <c:pt idx="14">
                  <c:v>44805</c:v>
                </c:pt>
                <c:pt idx="15">
                  <c:v>44835</c:v>
                </c:pt>
                <c:pt idx="16">
                  <c:v>44866</c:v>
                </c:pt>
                <c:pt idx="17">
                  <c:v>44896</c:v>
                </c:pt>
                <c:pt idx="18">
                  <c:v>44927</c:v>
                </c:pt>
                <c:pt idx="19">
                  <c:v>44958</c:v>
                </c:pt>
                <c:pt idx="20">
                  <c:v>44986</c:v>
                </c:pt>
                <c:pt idx="21">
                  <c:v>45017</c:v>
                </c:pt>
                <c:pt idx="22">
                  <c:v>45047</c:v>
                </c:pt>
                <c:pt idx="23">
                  <c:v>45078</c:v>
                </c:pt>
                <c:pt idx="24">
                  <c:v>45108</c:v>
                </c:pt>
                <c:pt idx="25">
                  <c:v>45139</c:v>
                </c:pt>
                <c:pt idx="26">
                  <c:v>45170</c:v>
                </c:pt>
              </c:numCache>
            </c:numRef>
          </c:xVal>
          <c:yVal>
            <c:numRef>
              <c:f>'Battery Bonus, All Islands'!$J$3:$J$29</c:f>
              <c:numCache>
                <c:formatCode>General</c:formatCode>
                <c:ptCount val="27"/>
                <c:pt idx="0">
                  <c:v>0</c:v>
                </c:pt>
                <c:pt idx="1">
                  <c:v>31</c:v>
                </c:pt>
                <c:pt idx="2">
                  <c:v>149</c:v>
                </c:pt>
                <c:pt idx="3">
                  <c:v>280</c:v>
                </c:pt>
                <c:pt idx="4">
                  <c:v>462</c:v>
                </c:pt>
                <c:pt idx="5">
                  <c:v>594</c:v>
                </c:pt>
                <c:pt idx="6">
                  <c:v>726</c:v>
                </c:pt>
                <c:pt idx="7">
                  <c:v>767</c:v>
                </c:pt>
                <c:pt idx="8">
                  <c:v>887</c:v>
                </c:pt>
                <c:pt idx="9">
                  <c:v>993</c:v>
                </c:pt>
                <c:pt idx="10">
                  <c:v>1166</c:v>
                </c:pt>
                <c:pt idx="11">
                  <c:v>1275</c:v>
                </c:pt>
                <c:pt idx="12">
                  <c:v>1420</c:v>
                </c:pt>
                <c:pt idx="13">
                  <c:v>1684</c:v>
                </c:pt>
                <c:pt idx="14">
                  <c:v>1838</c:v>
                </c:pt>
                <c:pt idx="15">
                  <c:v>2047</c:v>
                </c:pt>
                <c:pt idx="16">
                  <c:v>2348</c:v>
                </c:pt>
                <c:pt idx="17">
                  <c:v>2559</c:v>
                </c:pt>
                <c:pt idx="18">
                  <c:v>2826</c:v>
                </c:pt>
                <c:pt idx="19">
                  <c:v>3111</c:v>
                </c:pt>
                <c:pt idx="20">
                  <c:v>3493</c:v>
                </c:pt>
                <c:pt idx="21">
                  <c:v>3834</c:v>
                </c:pt>
                <c:pt idx="22">
                  <c:v>4160</c:v>
                </c:pt>
                <c:pt idx="23">
                  <c:v>4432</c:v>
                </c:pt>
                <c:pt idx="24">
                  <c:v>4648</c:v>
                </c:pt>
                <c:pt idx="25">
                  <c:v>4922</c:v>
                </c:pt>
                <c:pt idx="26">
                  <c:v>5324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B4C-4572-BA75-74E4A2295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9410856"/>
        <c:axId val="1149407248"/>
      </c:scatterChart>
      <c:valAx>
        <c:axId val="1149410856"/>
        <c:scaling>
          <c:orientation val="minMax"/>
          <c:max val="45100"/>
        </c:scaling>
        <c:delete val="0"/>
        <c:axPos val="b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9407248"/>
        <c:crosses val="autoZero"/>
        <c:crossBetween val="midCat"/>
      </c:valAx>
      <c:valAx>
        <c:axId val="1149407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Units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94108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Battery Bonus Program: Capacity (MW)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'Battery Bonus, All Islands'!$E$2</c:f>
              <c:strCache>
                <c:ptCount val="1"/>
                <c:pt idx="0">
                  <c:v>MW Capacity (PV &amp; Committed)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'Battery Bonus, All Islands'!$A$3:$A$29</c:f>
              <c:numCache>
                <c:formatCode>mmm\-yy</c:formatCode>
                <c:ptCount val="27"/>
                <c:pt idx="0">
                  <c:v>44378</c:v>
                </c:pt>
                <c:pt idx="1">
                  <c:v>44409</c:v>
                </c:pt>
                <c:pt idx="2">
                  <c:v>44440</c:v>
                </c:pt>
                <c:pt idx="3">
                  <c:v>44470</c:v>
                </c:pt>
                <c:pt idx="4">
                  <c:v>44501</c:v>
                </c:pt>
                <c:pt idx="5">
                  <c:v>44531</c:v>
                </c:pt>
                <c:pt idx="6">
                  <c:v>44562</c:v>
                </c:pt>
                <c:pt idx="7">
                  <c:v>44593</c:v>
                </c:pt>
                <c:pt idx="8">
                  <c:v>44621</c:v>
                </c:pt>
                <c:pt idx="9">
                  <c:v>44652</c:v>
                </c:pt>
                <c:pt idx="10">
                  <c:v>44682</c:v>
                </c:pt>
                <c:pt idx="11">
                  <c:v>44713</c:v>
                </c:pt>
                <c:pt idx="12">
                  <c:v>44743</c:v>
                </c:pt>
                <c:pt idx="13">
                  <c:v>44774</c:v>
                </c:pt>
                <c:pt idx="14">
                  <c:v>44805</c:v>
                </c:pt>
                <c:pt idx="15">
                  <c:v>44835</c:v>
                </c:pt>
                <c:pt idx="16">
                  <c:v>44866</c:v>
                </c:pt>
                <c:pt idx="17">
                  <c:v>44896</c:v>
                </c:pt>
                <c:pt idx="18">
                  <c:v>44927</c:v>
                </c:pt>
                <c:pt idx="19">
                  <c:v>44958</c:v>
                </c:pt>
                <c:pt idx="20">
                  <c:v>44986</c:v>
                </c:pt>
                <c:pt idx="21">
                  <c:v>45017</c:v>
                </c:pt>
                <c:pt idx="22">
                  <c:v>45047</c:v>
                </c:pt>
                <c:pt idx="23">
                  <c:v>45078</c:v>
                </c:pt>
                <c:pt idx="24">
                  <c:v>45108</c:v>
                </c:pt>
                <c:pt idx="25">
                  <c:v>45139</c:v>
                </c:pt>
                <c:pt idx="26">
                  <c:v>45170</c:v>
                </c:pt>
              </c:numCache>
            </c:numRef>
          </c:xVal>
          <c:yVal>
            <c:numRef>
              <c:f>'Battery Bonus, All Islands'!$E$3:$E$29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0.20900000000000002</c:v>
                </c:pt>
                <c:pt idx="6">
                  <c:v>0.48099999999999998</c:v>
                </c:pt>
                <c:pt idx="7">
                  <c:v>1.1930000000000001</c:v>
                </c:pt>
                <c:pt idx="8">
                  <c:v>1.69</c:v>
                </c:pt>
                <c:pt idx="9">
                  <c:v>2.1799999999999997</c:v>
                </c:pt>
                <c:pt idx="10">
                  <c:v>2.88</c:v>
                </c:pt>
                <c:pt idx="11">
                  <c:v>3.71</c:v>
                </c:pt>
                <c:pt idx="12">
                  <c:v>4.45</c:v>
                </c:pt>
                <c:pt idx="13">
                  <c:v>5.41</c:v>
                </c:pt>
                <c:pt idx="14">
                  <c:v>6.04</c:v>
                </c:pt>
                <c:pt idx="15">
                  <c:v>6.35</c:v>
                </c:pt>
                <c:pt idx="16">
                  <c:v>7.57</c:v>
                </c:pt>
                <c:pt idx="17">
                  <c:v>9.09</c:v>
                </c:pt>
                <c:pt idx="18">
                  <c:v>10.0304</c:v>
                </c:pt>
                <c:pt idx="19">
                  <c:v>11.205399999999999</c:v>
                </c:pt>
                <c:pt idx="20">
                  <c:v>12.23</c:v>
                </c:pt>
                <c:pt idx="21">
                  <c:v>14.95</c:v>
                </c:pt>
                <c:pt idx="22">
                  <c:v>17.11</c:v>
                </c:pt>
                <c:pt idx="23">
                  <c:v>18.91</c:v>
                </c:pt>
                <c:pt idx="24">
                  <c:v>19.59</c:v>
                </c:pt>
                <c:pt idx="25">
                  <c:v>22.1</c:v>
                </c:pt>
                <c:pt idx="26">
                  <c:v>24.36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090-41F4-B988-64C095E27193}"/>
            </c:ext>
          </c:extLst>
        </c:ser>
        <c:ser>
          <c:idx val="1"/>
          <c:order val="1"/>
          <c:tx>
            <c:strRef>
              <c:f>'Battery Bonus, All Islands'!$H$2</c:f>
              <c:strCache>
                <c:ptCount val="1"/>
                <c:pt idx="0">
                  <c:v>MW Verified or In-Progress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'Battery Bonus, All Islands'!$A$3:$A$29</c:f>
              <c:numCache>
                <c:formatCode>mmm\-yy</c:formatCode>
                <c:ptCount val="27"/>
                <c:pt idx="0">
                  <c:v>44378</c:v>
                </c:pt>
                <c:pt idx="1">
                  <c:v>44409</c:v>
                </c:pt>
                <c:pt idx="2">
                  <c:v>44440</c:v>
                </c:pt>
                <c:pt idx="3">
                  <c:v>44470</c:v>
                </c:pt>
                <c:pt idx="4">
                  <c:v>44501</c:v>
                </c:pt>
                <c:pt idx="5">
                  <c:v>44531</c:v>
                </c:pt>
                <c:pt idx="6">
                  <c:v>44562</c:v>
                </c:pt>
                <c:pt idx="7">
                  <c:v>44593</c:v>
                </c:pt>
                <c:pt idx="8">
                  <c:v>44621</c:v>
                </c:pt>
                <c:pt idx="9">
                  <c:v>44652</c:v>
                </c:pt>
                <c:pt idx="10">
                  <c:v>44682</c:v>
                </c:pt>
                <c:pt idx="11">
                  <c:v>44713</c:v>
                </c:pt>
                <c:pt idx="12">
                  <c:v>44743</c:v>
                </c:pt>
                <c:pt idx="13">
                  <c:v>44774</c:v>
                </c:pt>
                <c:pt idx="14">
                  <c:v>44805</c:v>
                </c:pt>
                <c:pt idx="15">
                  <c:v>44835</c:v>
                </c:pt>
                <c:pt idx="16">
                  <c:v>44866</c:v>
                </c:pt>
                <c:pt idx="17">
                  <c:v>44896</c:v>
                </c:pt>
                <c:pt idx="18">
                  <c:v>44927</c:v>
                </c:pt>
                <c:pt idx="19">
                  <c:v>44958</c:v>
                </c:pt>
                <c:pt idx="20">
                  <c:v>44986</c:v>
                </c:pt>
                <c:pt idx="21">
                  <c:v>45017</c:v>
                </c:pt>
                <c:pt idx="22">
                  <c:v>45047</c:v>
                </c:pt>
                <c:pt idx="23">
                  <c:v>45078</c:v>
                </c:pt>
                <c:pt idx="24">
                  <c:v>45108</c:v>
                </c:pt>
                <c:pt idx="25">
                  <c:v>45139</c:v>
                </c:pt>
                <c:pt idx="26">
                  <c:v>45170</c:v>
                </c:pt>
              </c:numCache>
            </c:numRef>
          </c:xVal>
          <c:yVal>
            <c:numRef>
              <c:f>'Battery Bonus, All Islands'!$H$3:$H$29</c:f>
              <c:numCache>
                <c:formatCode>General</c:formatCode>
                <c:ptCount val="27"/>
                <c:pt idx="0">
                  <c:v>0</c:v>
                </c:pt>
                <c:pt idx="1">
                  <c:v>0.16</c:v>
                </c:pt>
                <c:pt idx="2">
                  <c:v>0.77</c:v>
                </c:pt>
                <c:pt idx="3">
                  <c:v>1.5</c:v>
                </c:pt>
                <c:pt idx="4">
                  <c:v>2.71</c:v>
                </c:pt>
                <c:pt idx="5">
                  <c:v>3.33</c:v>
                </c:pt>
                <c:pt idx="6">
                  <c:v>3.9489999999999998</c:v>
                </c:pt>
                <c:pt idx="7">
                  <c:v>3.9179999999999997</c:v>
                </c:pt>
                <c:pt idx="8">
                  <c:v>4.2300000000000004</c:v>
                </c:pt>
                <c:pt idx="9">
                  <c:v>4.54</c:v>
                </c:pt>
                <c:pt idx="10">
                  <c:v>5.14</c:v>
                </c:pt>
                <c:pt idx="11">
                  <c:v>5.31</c:v>
                </c:pt>
                <c:pt idx="12">
                  <c:v>5.7200000000000006</c:v>
                </c:pt>
                <c:pt idx="13">
                  <c:v>6.64</c:v>
                </c:pt>
                <c:pt idx="14">
                  <c:v>7.45</c:v>
                </c:pt>
                <c:pt idx="15">
                  <c:v>7.1000000000000005</c:v>
                </c:pt>
                <c:pt idx="16">
                  <c:v>9.81</c:v>
                </c:pt>
                <c:pt idx="17">
                  <c:v>10.55</c:v>
                </c:pt>
                <c:pt idx="18">
                  <c:v>11.920000000000002</c:v>
                </c:pt>
                <c:pt idx="19">
                  <c:v>13.570000000000002</c:v>
                </c:pt>
                <c:pt idx="20">
                  <c:v>15.83</c:v>
                </c:pt>
                <c:pt idx="21">
                  <c:v>16.52</c:v>
                </c:pt>
                <c:pt idx="22">
                  <c:v>17.27</c:v>
                </c:pt>
                <c:pt idx="23">
                  <c:v>18.22</c:v>
                </c:pt>
                <c:pt idx="24">
                  <c:v>19.279999999999998</c:v>
                </c:pt>
                <c:pt idx="25">
                  <c:v>19.399999999999999</c:v>
                </c:pt>
                <c:pt idx="26">
                  <c:v>20.410000000000004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090-41F4-B988-64C095E27193}"/>
            </c:ext>
          </c:extLst>
        </c:ser>
        <c:ser>
          <c:idx val="2"/>
          <c:order val="2"/>
          <c:tx>
            <c:strRef>
              <c:f>'Battery Bonus, All Islands'!$K$2</c:f>
              <c:strCache>
                <c:ptCount val="1"/>
                <c:pt idx="0">
                  <c:v>Confirmed MW in Pipeline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'Battery Bonus, All Islands'!$A$3:$A$29</c:f>
              <c:numCache>
                <c:formatCode>mmm\-yy</c:formatCode>
                <c:ptCount val="27"/>
                <c:pt idx="0">
                  <c:v>44378</c:v>
                </c:pt>
                <c:pt idx="1">
                  <c:v>44409</c:v>
                </c:pt>
                <c:pt idx="2">
                  <c:v>44440</c:v>
                </c:pt>
                <c:pt idx="3">
                  <c:v>44470</c:v>
                </c:pt>
                <c:pt idx="4">
                  <c:v>44501</c:v>
                </c:pt>
                <c:pt idx="5">
                  <c:v>44531</c:v>
                </c:pt>
                <c:pt idx="6">
                  <c:v>44562</c:v>
                </c:pt>
                <c:pt idx="7">
                  <c:v>44593</c:v>
                </c:pt>
                <c:pt idx="8">
                  <c:v>44621</c:v>
                </c:pt>
                <c:pt idx="9">
                  <c:v>44652</c:v>
                </c:pt>
                <c:pt idx="10">
                  <c:v>44682</c:v>
                </c:pt>
                <c:pt idx="11">
                  <c:v>44713</c:v>
                </c:pt>
                <c:pt idx="12">
                  <c:v>44743</c:v>
                </c:pt>
                <c:pt idx="13">
                  <c:v>44774</c:v>
                </c:pt>
                <c:pt idx="14">
                  <c:v>44805</c:v>
                </c:pt>
                <c:pt idx="15">
                  <c:v>44835</c:v>
                </c:pt>
                <c:pt idx="16">
                  <c:v>44866</c:v>
                </c:pt>
                <c:pt idx="17">
                  <c:v>44896</c:v>
                </c:pt>
                <c:pt idx="18">
                  <c:v>44927</c:v>
                </c:pt>
                <c:pt idx="19">
                  <c:v>44958</c:v>
                </c:pt>
                <c:pt idx="20">
                  <c:v>44986</c:v>
                </c:pt>
                <c:pt idx="21">
                  <c:v>45017</c:v>
                </c:pt>
                <c:pt idx="22">
                  <c:v>45047</c:v>
                </c:pt>
                <c:pt idx="23">
                  <c:v>45078</c:v>
                </c:pt>
                <c:pt idx="24">
                  <c:v>45108</c:v>
                </c:pt>
                <c:pt idx="25">
                  <c:v>45139</c:v>
                </c:pt>
                <c:pt idx="26">
                  <c:v>45170</c:v>
                </c:pt>
              </c:numCache>
            </c:numRef>
          </c:xVal>
          <c:yVal>
            <c:numRef>
              <c:f>'Battery Bonus, All Islands'!$K$3:$K$29</c:f>
              <c:numCache>
                <c:formatCode>General</c:formatCode>
                <c:ptCount val="27"/>
                <c:pt idx="0">
                  <c:v>0</c:v>
                </c:pt>
                <c:pt idx="1">
                  <c:v>0.16</c:v>
                </c:pt>
                <c:pt idx="2">
                  <c:v>0.77</c:v>
                </c:pt>
                <c:pt idx="3">
                  <c:v>1.5</c:v>
                </c:pt>
                <c:pt idx="4">
                  <c:v>2.71</c:v>
                </c:pt>
                <c:pt idx="5">
                  <c:v>3.5390000000000001</c:v>
                </c:pt>
                <c:pt idx="6">
                  <c:v>4.43</c:v>
                </c:pt>
                <c:pt idx="7">
                  <c:v>5.1109999999999998</c:v>
                </c:pt>
                <c:pt idx="8">
                  <c:v>5.92</c:v>
                </c:pt>
                <c:pt idx="9">
                  <c:v>6.72</c:v>
                </c:pt>
                <c:pt idx="10">
                  <c:v>8.02</c:v>
                </c:pt>
                <c:pt idx="11">
                  <c:v>9.02</c:v>
                </c:pt>
                <c:pt idx="12">
                  <c:v>10.170000000000002</c:v>
                </c:pt>
                <c:pt idx="13">
                  <c:v>12.05</c:v>
                </c:pt>
                <c:pt idx="14">
                  <c:v>13.49</c:v>
                </c:pt>
                <c:pt idx="15">
                  <c:v>13.45</c:v>
                </c:pt>
                <c:pt idx="16">
                  <c:v>17.380000000000003</c:v>
                </c:pt>
                <c:pt idx="17">
                  <c:v>19.64</c:v>
                </c:pt>
                <c:pt idx="18">
                  <c:v>21.950400000000002</c:v>
                </c:pt>
                <c:pt idx="19">
                  <c:v>24.775400000000001</c:v>
                </c:pt>
                <c:pt idx="20">
                  <c:v>28.060000000000002</c:v>
                </c:pt>
                <c:pt idx="21">
                  <c:v>31.47</c:v>
                </c:pt>
                <c:pt idx="22">
                  <c:v>34.379999999999995</c:v>
                </c:pt>
                <c:pt idx="23">
                  <c:v>37.129999999999995</c:v>
                </c:pt>
                <c:pt idx="24">
                  <c:v>38.869999999999997</c:v>
                </c:pt>
                <c:pt idx="25">
                  <c:v>41.5</c:v>
                </c:pt>
                <c:pt idx="26">
                  <c:v>44.77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090-41F4-B988-64C095E27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9539408"/>
        <c:axId val="1569543016"/>
      </c:scatterChart>
      <c:valAx>
        <c:axId val="1569539408"/>
        <c:scaling>
          <c:orientation val="minMax"/>
          <c:max val="45100"/>
        </c:scaling>
        <c:delete val="0"/>
        <c:axPos val="b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9543016"/>
        <c:crosses val="autoZero"/>
        <c:crossBetween val="midCat"/>
      </c:valAx>
      <c:valAx>
        <c:axId val="1569543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95394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Battery Bonus Program:  Incentives Paid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'Battery Bonus, All Islands'!$F$2</c:f>
              <c:strCache>
                <c:ptCount val="1"/>
                <c:pt idx="0">
                  <c:v>Incentives Paid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'Battery Bonus, All Islands'!$A$3:$A$29</c:f>
              <c:numCache>
                <c:formatCode>mmm\-yy</c:formatCode>
                <c:ptCount val="27"/>
                <c:pt idx="0">
                  <c:v>44378</c:v>
                </c:pt>
                <c:pt idx="1">
                  <c:v>44409</c:v>
                </c:pt>
                <c:pt idx="2">
                  <c:v>44440</c:v>
                </c:pt>
                <c:pt idx="3">
                  <c:v>44470</c:v>
                </c:pt>
                <c:pt idx="4">
                  <c:v>44501</c:v>
                </c:pt>
                <c:pt idx="5">
                  <c:v>44531</c:v>
                </c:pt>
                <c:pt idx="6">
                  <c:v>44562</c:v>
                </c:pt>
                <c:pt idx="7">
                  <c:v>44593</c:v>
                </c:pt>
                <c:pt idx="8">
                  <c:v>44621</c:v>
                </c:pt>
                <c:pt idx="9">
                  <c:v>44652</c:v>
                </c:pt>
                <c:pt idx="10">
                  <c:v>44682</c:v>
                </c:pt>
                <c:pt idx="11">
                  <c:v>44713</c:v>
                </c:pt>
                <c:pt idx="12">
                  <c:v>44743</c:v>
                </c:pt>
                <c:pt idx="13">
                  <c:v>44774</c:v>
                </c:pt>
                <c:pt idx="14">
                  <c:v>44805</c:v>
                </c:pt>
                <c:pt idx="15">
                  <c:v>44835</c:v>
                </c:pt>
                <c:pt idx="16">
                  <c:v>44866</c:v>
                </c:pt>
                <c:pt idx="17">
                  <c:v>44896</c:v>
                </c:pt>
                <c:pt idx="18">
                  <c:v>44927</c:v>
                </c:pt>
                <c:pt idx="19">
                  <c:v>44958</c:v>
                </c:pt>
                <c:pt idx="20">
                  <c:v>44986</c:v>
                </c:pt>
                <c:pt idx="21">
                  <c:v>45017</c:v>
                </c:pt>
                <c:pt idx="22">
                  <c:v>45047</c:v>
                </c:pt>
                <c:pt idx="23">
                  <c:v>45078</c:v>
                </c:pt>
                <c:pt idx="24">
                  <c:v>45108</c:v>
                </c:pt>
                <c:pt idx="25">
                  <c:v>45139</c:v>
                </c:pt>
                <c:pt idx="26">
                  <c:v>45170</c:v>
                </c:pt>
              </c:numCache>
            </c:numRef>
          </c:xVal>
          <c:yVal>
            <c:numRef>
              <c:f>'Battery Bonus, All Islands'!$F$3:$F$29</c:f>
              <c:numCache>
                <c:formatCode>_("$"* #,##0_);_("$"* \(#,##0\);_("$"* "-"_);_(@_)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118150</c:v>
                </c:pt>
                <c:pt idx="6">
                  <c:v>261800</c:v>
                </c:pt>
                <c:pt idx="7">
                  <c:v>502554</c:v>
                </c:pt>
                <c:pt idx="8">
                  <c:v>756815</c:v>
                </c:pt>
                <c:pt idx="9">
                  <c:v>1014263</c:v>
                </c:pt>
                <c:pt idx="10">
                  <c:v>1395029</c:v>
                </c:pt>
                <c:pt idx="11">
                  <c:v>1864535</c:v>
                </c:pt>
                <c:pt idx="12">
                  <c:v>2277550</c:v>
                </c:pt>
                <c:pt idx="13">
                  <c:v>2960814</c:v>
                </c:pt>
                <c:pt idx="14">
                  <c:v>3304214</c:v>
                </c:pt>
                <c:pt idx="15">
                  <c:v>3468009</c:v>
                </c:pt>
                <c:pt idx="16">
                  <c:v>4185426</c:v>
                </c:pt>
                <c:pt idx="17">
                  <c:v>4925374</c:v>
                </c:pt>
                <c:pt idx="18">
                  <c:v>5413693</c:v>
                </c:pt>
                <c:pt idx="19">
                  <c:v>6017856</c:v>
                </c:pt>
                <c:pt idx="20">
                  <c:v>6572178</c:v>
                </c:pt>
                <c:pt idx="21">
                  <c:v>8136532</c:v>
                </c:pt>
                <c:pt idx="22">
                  <c:v>9348071</c:v>
                </c:pt>
                <c:pt idx="23">
                  <c:v>10367501</c:v>
                </c:pt>
                <c:pt idx="24">
                  <c:v>10746023</c:v>
                </c:pt>
                <c:pt idx="25">
                  <c:v>12262993</c:v>
                </c:pt>
                <c:pt idx="26">
                  <c:v>13624565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74F-40D0-9C99-7776A11D0B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9300024"/>
        <c:axId val="1209300352"/>
      </c:scatterChart>
      <c:valAx>
        <c:axId val="1209300024"/>
        <c:scaling>
          <c:orientation val="minMax"/>
          <c:max val="45100"/>
        </c:scaling>
        <c:delete val="0"/>
        <c:axPos val="b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9300352"/>
        <c:crosses val="autoZero"/>
        <c:crossBetween val="midCat"/>
      </c:valAx>
      <c:valAx>
        <c:axId val="1209300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9300024"/>
        <c:crosses val="autoZero"/>
        <c:crossBetween val="midCat"/>
        <c:majorUnit val="1000000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Battery Bonus Program: Participants (Units)</a:t>
            </a:r>
          </a:p>
          <a:p>
            <a:pPr>
              <a:defRPr/>
            </a:pPr>
            <a:r>
              <a:rPr lang="en-US" sz="1400" b="0" i="0" baseline="0">
                <a:effectLst/>
              </a:rPr>
              <a:t>Maui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'Battery Bonus, All Islands'!$B$2</c:f>
              <c:strCache>
                <c:ptCount val="1"/>
                <c:pt idx="0">
                  <c:v>Units installed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'Battery Bonus, All Islands'!$A$3:$A$26</c:f>
              <c:numCache>
                <c:formatCode>mmm\-yy</c:formatCode>
                <c:ptCount val="24"/>
                <c:pt idx="0">
                  <c:v>44378</c:v>
                </c:pt>
                <c:pt idx="1">
                  <c:v>44409</c:v>
                </c:pt>
                <c:pt idx="2">
                  <c:v>44440</c:v>
                </c:pt>
                <c:pt idx="3">
                  <c:v>44470</c:v>
                </c:pt>
                <c:pt idx="4">
                  <c:v>44501</c:v>
                </c:pt>
                <c:pt idx="5">
                  <c:v>44531</c:v>
                </c:pt>
                <c:pt idx="6">
                  <c:v>44562</c:v>
                </c:pt>
                <c:pt idx="7">
                  <c:v>44593</c:v>
                </c:pt>
                <c:pt idx="8">
                  <c:v>44621</c:v>
                </c:pt>
                <c:pt idx="9">
                  <c:v>44652</c:v>
                </c:pt>
                <c:pt idx="10">
                  <c:v>44682</c:v>
                </c:pt>
                <c:pt idx="11">
                  <c:v>44713</c:v>
                </c:pt>
                <c:pt idx="12">
                  <c:v>44743</c:v>
                </c:pt>
                <c:pt idx="13">
                  <c:v>44774</c:v>
                </c:pt>
                <c:pt idx="14">
                  <c:v>44805</c:v>
                </c:pt>
                <c:pt idx="15">
                  <c:v>44835</c:v>
                </c:pt>
                <c:pt idx="16">
                  <c:v>44866</c:v>
                </c:pt>
                <c:pt idx="17">
                  <c:v>44896</c:v>
                </c:pt>
                <c:pt idx="18">
                  <c:v>44927</c:v>
                </c:pt>
                <c:pt idx="19">
                  <c:v>44958</c:v>
                </c:pt>
                <c:pt idx="20">
                  <c:v>44986</c:v>
                </c:pt>
                <c:pt idx="21">
                  <c:v>45017</c:v>
                </c:pt>
                <c:pt idx="22">
                  <c:v>45047</c:v>
                </c:pt>
                <c:pt idx="23">
                  <c:v>45078</c:v>
                </c:pt>
              </c:numCache>
            </c:numRef>
          </c:xVal>
          <c:yVal>
            <c:numRef>
              <c:f>'Battery Bonus, All Islands'!$B$3:$B$26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28</c:v>
                </c:pt>
                <c:pt idx="6">
                  <c:v>62</c:v>
                </c:pt>
                <c:pt idx="7">
                  <c:v>114</c:v>
                </c:pt>
                <c:pt idx="8">
                  <c:v>178</c:v>
                </c:pt>
                <c:pt idx="9">
                  <c:v>235</c:v>
                </c:pt>
                <c:pt idx="10">
                  <c:v>303</c:v>
                </c:pt>
                <c:pt idx="11">
                  <c:v>390</c:v>
                </c:pt>
                <c:pt idx="12">
                  <c:v>464</c:v>
                </c:pt>
                <c:pt idx="13">
                  <c:v>586</c:v>
                </c:pt>
                <c:pt idx="14">
                  <c:v>651</c:v>
                </c:pt>
                <c:pt idx="15">
                  <c:v>686</c:v>
                </c:pt>
                <c:pt idx="16">
                  <c:v>822</c:v>
                </c:pt>
                <c:pt idx="17">
                  <c:v>942</c:v>
                </c:pt>
                <c:pt idx="18">
                  <c:v>1040</c:v>
                </c:pt>
                <c:pt idx="19">
                  <c:v>1156</c:v>
                </c:pt>
                <c:pt idx="20">
                  <c:v>1270</c:v>
                </c:pt>
                <c:pt idx="21">
                  <c:v>1572</c:v>
                </c:pt>
                <c:pt idx="22">
                  <c:v>1767</c:v>
                </c:pt>
                <c:pt idx="23">
                  <c:v>1945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A48-4EBC-9AE1-8B8CFEF6EF1C}"/>
            </c:ext>
          </c:extLst>
        </c:ser>
        <c:ser>
          <c:idx val="1"/>
          <c:order val="1"/>
          <c:tx>
            <c:strRef>
              <c:f>'Battery Bonus, All Islands'!$G$2</c:f>
              <c:strCache>
                <c:ptCount val="1"/>
                <c:pt idx="0">
                  <c:v>Units verified or In-progress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'Battery Bonus, All Islands'!$A$3:$A$26</c:f>
              <c:numCache>
                <c:formatCode>mmm\-yy</c:formatCode>
                <c:ptCount val="24"/>
                <c:pt idx="0">
                  <c:v>44378</c:v>
                </c:pt>
                <c:pt idx="1">
                  <c:v>44409</c:v>
                </c:pt>
                <c:pt idx="2">
                  <c:v>44440</c:v>
                </c:pt>
                <c:pt idx="3">
                  <c:v>44470</c:v>
                </c:pt>
                <c:pt idx="4">
                  <c:v>44501</c:v>
                </c:pt>
                <c:pt idx="5">
                  <c:v>44531</c:v>
                </c:pt>
                <c:pt idx="6">
                  <c:v>44562</c:v>
                </c:pt>
                <c:pt idx="7">
                  <c:v>44593</c:v>
                </c:pt>
                <c:pt idx="8">
                  <c:v>44621</c:v>
                </c:pt>
                <c:pt idx="9">
                  <c:v>44652</c:v>
                </c:pt>
                <c:pt idx="10">
                  <c:v>44682</c:v>
                </c:pt>
                <c:pt idx="11">
                  <c:v>44713</c:v>
                </c:pt>
                <c:pt idx="12">
                  <c:v>44743</c:v>
                </c:pt>
                <c:pt idx="13">
                  <c:v>44774</c:v>
                </c:pt>
                <c:pt idx="14">
                  <c:v>44805</c:v>
                </c:pt>
                <c:pt idx="15">
                  <c:v>44835</c:v>
                </c:pt>
                <c:pt idx="16">
                  <c:v>44866</c:v>
                </c:pt>
                <c:pt idx="17">
                  <c:v>44896</c:v>
                </c:pt>
                <c:pt idx="18">
                  <c:v>44927</c:v>
                </c:pt>
                <c:pt idx="19">
                  <c:v>44958</c:v>
                </c:pt>
                <c:pt idx="20">
                  <c:v>44986</c:v>
                </c:pt>
                <c:pt idx="21">
                  <c:v>45017</c:v>
                </c:pt>
                <c:pt idx="22">
                  <c:v>45047</c:v>
                </c:pt>
                <c:pt idx="23">
                  <c:v>45078</c:v>
                </c:pt>
              </c:numCache>
            </c:numRef>
          </c:xVal>
          <c:yVal>
            <c:numRef>
              <c:f>'Battery Bonus, All Islands'!$G$3:$G$26</c:f>
              <c:numCache>
                <c:formatCode>General</c:formatCode>
                <c:ptCount val="24"/>
                <c:pt idx="0">
                  <c:v>0</c:v>
                </c:pt>
                <c:pt idx="1">
                  <c:v>31</c:v>
                </c:pt>
                <c:pt idx="2">
                  <c:v>149</c:v>
                </c:pt>
                <c:pt idx="3">
                  <c:v>280</c:v>
                </c:pt>
                <c:pt idx="4">
                  <c:v>462</c:v>
                </c:pt>
                <c:pt idx="5">
                  <c:v>566</c:v>
                </c:pt>
                <c:pt idx="6">
                  <c:v>664</c:v>
                </c:pt>
                <c:pt idx="7">
                  <c:v>653</c:v>
                </c:pt>
                <c:pt idx="8">
                  <c:v>709</c:v>
                </c:pt>
                <c:pt idx="9">
                  <c:v>758</c:v>
                </c:pt>
                <c:pt idx="10">
                  <c:v>863</c:v>
                </c:pt>
                <c:pt idx="11">
                  <c:v>885</c:v>
                </c:pt>
                <c:pt idx="12">
                  <c:v>956</c:v>
                </c:pt>
                <c:pt idx="13">
                  <c:v>1098</c:v>
                </c:pt>
                <c:pt idx="14">
                  <c:v>1187</c:v>
                </c:pt>
                <c:pt idx="15">
                  <c:v>1361</c:v>
                </c:pt>
                <c:pt idx="16">
                  <c:v>1526</c:v>
                </c:pt>
                <c:pt idx="17">
                  <c:v>1617</c:v>
                </c:pt>
                <c:pt idx="18">
                  <c:v>1786</c:v>
                </c:pt>
                <c:pt idx="19">
                  <c:v>1955</c:v>
                </c:pt>
                <c:pt idx="20">
                  <c:v>2223</c:v>
                </c:pt>
                <c:pt idx="21">
                  <c:v>2262</c:v>
                </c:pt>
                <c:pt idx="22">
                  <c:v>2393</c:v>
                </c:pt>
                <c:pt idx="23">
                  <c:v>2487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A48-4EBC-9AE1-8B8CFEF6EF1C}"/>
            </c:ext>
          </c:extLst>
        </c:ser>
        <c:ser>
          <c:idx val="2"/>
          <c:order val="2"/>
          <c:tx>
            <c:strRef>
              <c:f>'Battery Bonus, All Islands'!$J$2</c:f>
              <c:strCache>
                <c:ptCount val="1"/>
                <c:pt idx="0">
                  <c:v>Confirmed Units in Pipeline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'Battery Bonus, All Islands'!$A$3:$A$26</c:f>
              <c:numCache>
                <c:formatCode>mmm\-yy</c:formatCode>
                <c:ptCount val="24"/>
                <c:pt idx="0">
                  <c:v>44378</c:v>
                </c:pt>
                <c:pt idx="1">
                  <c:v>44409</c:v>
                </c:pt>
                <c:pt idx="2">
                  <c:v>44440</c:v>
                </c:pt>
                <c:pt idx="3">
                  <c:v>44470</c:v>
                </c:pt>
                <c:pt idx="4">
                  <c:v>44501</c:v>
                </c:pt>
                <c:pt idx="5">
                  <c:v>44531</c:v>
                </c:pt>
                <c:pt idx="6">
                  <c:v>44562</c:v>
                </c:pt>
                <c:pt idx="7">
                  <c:v>44593</c:v>
                </c:pt>
                <c:pt idx="8">
                  <c:v>44621</c:v>
                </c:pt>
                <c:pt idx="9">
                  <c:v>44652</c:v>
                </c:pt>
                <c:pt idx="10">
                  <c:v>44682</c:v>
                </c:pt>
                <c:pt idx="11">
                  <c:v>44713</c:v>
                </c:pt>
                <c:pt idx="12">
                  <c:v>44743</c:v>
                </c:pt>
                <c:pt idx="13">
                  <c:v>44774</c:v>
                </c:pt>
                <c:pt idx="14">
                  <c:v>44805</c:v>
                </c:pt>
                <c:pt idx="15">
                  <c:v>44835</c:v>
                </c:pt>
                <c:pt idx="16">
                  <c:v>44866</c:v>
                </c:pt>
                <c:pt idx="17">
                  <c:v>44896</c:v>
                </c:pt>
                <c:pt idx="18">
                  <c:v>44927</c:v>
                </c:pt>
                <c:pt idx="19">
                  <c:v>44958</c:v>
                </c:pt>
                <c:pt idx="20">
                  <c:v>44986</c:v>
                </c:pt>
                <c:pt idx="21">
                  <c:v>45017</c:v>
                </c:pt>
                <c:pt idx="22">
                  <c:v>45047</c:v>
                </c:pt>
                <c:pt idx="23">
                  <c:v>45078</c:v>
                </c:pt>
              </c:numCache>
            </c:numRef>
          </c:xVal>
          <c:yVal>
            <c:numRef>
              <c:f>'Battery Bonus, All Islands'!$J$3:$J$26</c:f>
              <c:numCache>
                <c:formatCode>General</c:formatCode>
                <c:ptCount val="24"/>
                <c:pt idx="0">
                  <c:v>0</c:v>
                </c:pt>
                <c:pt idx="1">
                  <c:v>31</c:v>
                </c:pt>
                <c:pt idx="2">
                  <c:v>149</c:v>
                </c:pt>
                <c:pt idx="3">
                  <c:v>280</c:v>
                </c:pt>
                <c:pt idx="4">
                  <c:v>462</c:v>
                </c:pt>
                <c:pt idx="5">
                  <c:v>594</c:v>
                </c:pt>
                <c:pt idx="6">
                  <c:v>726</c:v>
                </c:pt>
                <c:pt idx="7">
                  <c:v>767</c:v>
                </c:pt>
                <c:pt idx="8">
                  <c:v>887</c:v>
                </c:pt>
                <c:pt idx="9">
                  <c:v>993</c:v>
                </c:pt>
                <c:pt idx="10">
                  <c:v>1166</c:v>
                </c:pt>
                <c:pt idx="11">
                  <c:v>1275</c:v>
                </c:pt>
                <c:pt idx="12">
                  <c:v>1420</c:v>
                </c:pt>
                <c:pt idx="13">
                  <c:v>1684</c:v>
                </c:pt>
                <c:pt idx="14">
                  <c:v>1838</c:v>
                </c:pt>
                <c:pt idx="15">
                  <c:v>2047</c:v>
                </c:pt>
                <c:pt idx="16">
                  <c:v>2348</c:v>
                </c:pt>
                <c:pt idx="17">
                  <c:v>2559</c:v>
                </c:pt>
                <c:pt idx="18">
                  <c:v>2826</c:v>
                </c:pt>
                <c:pt idx="19">
                  <c:v>3111</c:v>
                </c:pt>
                <c:pt idx="20">
                  <c:v>3493</c:v>
                </c:pt>
                <c:pt idx="21">
                  <c:v>3834</c:v>
                </c:pt>
                <c:pt idx="22">
                  <c:v>4160</c:v>
                </c:pt>
                <c:pt idx="23">
                  <c:v>4432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A48-4EBC-9AE1-8B8CFEF6E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9410856"/>
        <c:axId val="1149407248"/>
      </c:scatterChart>
      <c:valAx>
        <c:axId val="1149410856"/>
        <c:scaling>
          <c:orientation val="minMax"/>
          <c:max val="45100"/>
        </c:scaling>
        <c:delete val="0"/>
        <c:axPos val="b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9407248"/>
        <c:crosses val="autoZero"/>
        <c:crossBetween val="midCat"/>
      </c:valAx>
      <c:valAx>
        <c:axId val="1149407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Units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94108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Battery Bonus Program:  Incentives Paid</a:t>
            </a:r>
          </a:p>
          <a:p>
            <a:pPr>
              <a:defRPr/>
            </a:pPr>
            <a:r>
              <a:rPr lang="en-US"/>
              <a:t>Maui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'Battery Bonus, All Islands'!$F$2</c:f>
              <c:strCache>
                <c:ptCount val="1"/>
                <c:pt idx="0">
                  <c:v>Incentives Paid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'Battery Bonus, All Islands'!$A$3:$A$26</c:f>
              <c:numCache>
                <c:formatCode>mmm\-yy</c:formatCode>
                <c:ptCount val="24"/>
                <c:pt idx="0">
                  <c:v>44378</c:v>
                </c:pt>
                <c:pt idx="1">
                  <c:v>44409</c:v>
                </c:pt>
                <c:pt idx="2">
                  <c:v>44440</c:v>
                </c:pt>
                <c:pt idx="3">
                  <c:v>44470</c:v>
                </c:pt>
                <c:pt idx="4">
                  <c:v>44501</c:v>
                </c:pt>
                <c:pt idx="5">
                  <c:v>44531</c:v>
                </c:pt>
                <c:pt idx="6">
                  <c:v>44562</c:v>
                </c:pt>
                <c:pt idx="7">
                  <c:v>44593</c:v>
                </c:pt>
                <c:pt idx="8">
                  <c:v>44621</c:v>
                </c:pt>
                <c:pt idx="9">
                  <c:v>44652</c:v>
                </c:pt>
                <c:pt idx="10">
                  <c:v>44682</c:v>
                </c:pt>
                <c:pt idx="11">
                  <c:v>44713</c:v>
                </c:pt>
                <c:pt idx="12">
                  <c:v>44743</c:v>
                </c:pt>
                <c:pt idx="13">
                  <c:v>44774</c:v>
                </c:pt>
                <c:pt idx="14">
                  <c:v>44805</c:v>
                </c:pt>
                <c:pt idx="15">
                  <c:v>44835</c:v>
                </c:pt>
                <c:pt idx="16">
                  <c:v>44866</c:v>
                </c:pt>
                <c:pt idx="17">
                  <c:v>44896</c:v>
                </c:pt>
                <c:pt idx="18">
                  <c:v>44927</c:v>
                </c:pt>
                <c:pt idx="19">
                  <c:v>44958</c:v>
                </c:pt>
                <c:pt idx="20">
                  <c:v>44986</c:v>
                </c:pt>
                <c:pt idx="21">
                  <c:v>45017</c:v>
                </c:pt>
                <c:pt idx="22">
                  <c:v>45047</c:v>
                </c:pt>
                <c:pt idx="23">
                  <c:v>45078</c:v>
                </c:pt>
              </c:numCache>
            </c:numRef>
          </c:xVal>
          <c:yVal>
            <c:numRef>
              <c:f>'Battery Bonus, All Islands'!$F$3:$F$26</c:f>
              <c:numCache>
                <c:formatCode>_("$"* #,##0_);_("$"* \(#,##0\);_("$"* "-"_);_(@_)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118150</c:v>
                </c:pt>
                <c:pt idx="6">
                  <c:v>261800</c:v>
                </c:pt>
                <c:pt idx="7">
                  <c:v>502554</c:v>
                </c:pt>
                <c:pt idx="8">
                  <c:v>756815</c:v>
                </c:pt>
                <c:pt idx="9">
                  <c:v>1014263</c:v>
                </c:pt>
                <c:pt idx="10">
                  <c:v>1395029</c:v>
                </c:pt>
                <c:pt idx="11">
                  <c:v>1864535</c:v>
                </c:pt>
                <c:pt idx="12">
                  <c:v>2277550</c:v>
                </c:pt>
                <c:pt idx="13">
                  <c:v>2960814</c:v>
                </c:pt>
                <c:pt idx="14">
                  <c:v>3304214</c:v>
                </c:pt>
                <c:pt idx="15">
                  <c:v>3468009</c:v>
                </c:pt>
                <c:pt idx="16">
                  <c:v>4185426</c:v>
                </c:pt>
                <c:pt idx="17">
                  <c:v>4925374</c:v>
                </c:pt>
                <c:pt idx="18">
                  <c:v>5413693</c:v>
                </c:pt>
                <c:pt idx="19">
                  <c:v>6017856</c:v>
                </c:pt>
                <c:pt idx="20">
                  <c:v>6572178</c:v>
                </c:pt>
                <c:pt idx="21">
                  <c:v>8136532</c:v>
                </c:pt>
                <c:pt idx="22">
                  <c:v>9348071</c:v>
                </c:pt>
                <c:pt idx="23">
                  <c:v>10367501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C13-4E97-BCD8-5A027F95E5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9300024"/>
        <c:axId val="1209300352"/>
      </c:scatterChart>
      <c:valAx>
        <c:axId val="1209300024"/>
        <c:scaling>
          <c:orientation val="minMax"/>
          <c:max val="45100"/>
        </c:scaling>
        <c:delete val="0"/>
        <c:axPos val="b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9300352"/>
        <c:crosses val="autoZero"/>
        <c:crossBetween val="midCat"/>
      </c:valAx>
      <c:valAx>
        <c:axId val="1209300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9300024"/>
        <c:crosses val="autoZero"/>
        <c:crossBetween val="midCat"/>
        <c:majorUnit val="1000000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377145</xdr:colOff>
      <xdr:row>30</xdr:row>
      <xdr:rowOff>46038</xdr:rowOff>
    </xdr:from>
    <xdr:to>
      <xdr:col>8</xdr:col>
      <xdr:colOff>861105</xdr:colOff>
      <xdr:row>45</xdr:row>
      <xdr:rowOff>68262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CF55AE9-D376-46D9-A16F-3513E9C753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82322</xdr:colOff>
      <xdr:row>30</xdr:row>
      <xdr:rowOff>61004</xdr:rowOff>
    </xdr:from>
    <xdr:to>
      <xdr:col>15</xdr:col>
      <xdr:colOff>414790</xdr:colOff>
      <xdr:row>45</xdr:row>
      <xdr:rowOff>83228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B950DD0-5264-4951-A1EC-B93796B80617}"/>
            </a:ext>
            <a:ext uri="{147F2762-F138-4A5C-976F-8EAC2B608ADB}">
              <a16:predDERef xmlns:a16="http://schemas.microsoft.com/office/drawing/2014/main" pred="{EF86924A-2F9F-411B-98CF-8836B8EE7C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</xdr:row>
      <xdr:rowOff>65087</xdr:rowOff>
    </xdr:from>
    <xdr:to>
      <xdr:col>4</xdr:col>
      <xdr:colOff>269875</xdr:colOff>
      <xdr:row>45</xdr:row>
      <xdr:rowOff>87310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1BB4318-87C1-4962-8BD2-0C09A6322983}"/>
            </a:ext>
            <a:ext uri="{147F2762-F138-4A5C-976F-8EAC2B608ADB}">
              <a16:predDERef xmlns:a16="http://schemas.microsoft.com/office/drawing/2014/main" pred="{E9B24EAB-76E5-43A6-9611-0227E8D168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426758</xdr:colOff>
      <xdr:row>36</xdr:row>
      <xdr:rowOff>31750</xdr:rowOff>
    </xdr:from>
    <xdr:to>
      <xdr:col>39</xdr:col>
      <xdr:colOff>73585</xdr:colOff>
      <xdr:row>51</xdr:row>
      <xdr:rowOff>49306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24E084-B2A6-4290-B3C5-44E036D6DD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31</xdr:col>
      <xdr:colOff>484841</xdr:colOff>
      <xdr:row>20</xdr:row>
      <xdr:rowOff>0</xdr:rowOff>
    </xdr:from>
    <xdr:to>
      <xdr:col>38</xdr:col>
      <xdr:colOff>454959</xdr:colOff>
      <xdr:row>35</xdr:row>
      <xdr:rowOff>12701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9BD405C-B798-4CF6-A707-E65490E2D777}"/>
            </a:ext>
            <a:ext uri="{147F2762-F138-4A5C-976F-8EAC2B608ADB}">
              <a16:predDERef xmlns:a16="http://schemas.microsoft.com/office/drawing/2014/main" pred="{E9B24EAB-76E5-43A6-9611-0227E8D168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hawaiioimt.sharepoint.com/teams/DBEDTHSEOAll/Shared%20Documents/Powering%20Past%20Fossil%20Fuels%20Task%20Force/PPFFTF_MasterSchedule_Current.xlsx" TargetMode="External"/><Relationship Id="rId1" Type="http://schemas.openxmlformats.org/officeDocument/2006/relationships/externalLinkPath" Target="/teams/DBEDTHSEOAll/Shared%20Documents/Powering%20Past%20Fossil%20Fuels%20Task%20Force/PPFFTF_MasterSchedule_Curre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F Schedule - Calendar"/>
      <sheetName val="TF Schedule - Detailed"/>
      <sheetName val="PPA Ammendments"/>
      <sheetName val="Battery Bonus, All Islands"/>
      <sheetName val="Battery Bonus Maui"/>
      <sheetName val="Battery Bonus O'ahu"/>
      <sheetName val="Sheet1"/>
      <sheetName val="Discretionary Permits Remain"/>
      <sheetName val="TF Project Permit Details"/>
      <sheetName val="Permit References and Timelines"/>
      <sheetName val="TMKs"/>
      <sheetName val="zzz_TF Master Schedule"/>
      <sheetName val="Permit Details Demo"/>
    </sheetNames>
    <sheetDataSet>
      <sheetData sheetId="0"/>
      <sheetData sheetId="1"/>
      <sheetData sheetId="2"/>
      <sheetData sheetId="3">
        <row r="2">
          <cell r="B2" t="str">
            <v>Units installed</v>
          </cell>
          <cell r="E2" t="str">
            <v>MW Capacity (PV &amp; Committed)</v>
          </cell>
          <cell r="F2" t="str">
            <v>Incentives Paid</v>
          </cell>
          <cell r="G2" t="str">
            <v>Units verified or In-progress</v>
          </cell>
          <cell r="H2" t="str">
            <v>MW Verified or In-Progress</v>
          </cell>
          <cell r="J2" t="str">
            <v>Confirmed Units in Pipeline</v>
          </cell>
          <cell r="K2" t="str">
            <v>Confirmed MW in Pipeline</v>
          </cell>
        </row>
        <row r="3">
          <cell r="A3">
            <v>44378</v>
          </cell>
          <cell r="B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J3">
            <v>0</v>
          </cell>
          <cell r="K3">
            <v>0</v>
          </cell>
        </row>
        <row r="4">
          <cell r="A4">
            <v>44409</v>
          </cell>
          <cell r="B4">
            <v>0</v>
          </cell>
          <cell r="E4">
            <v>0</v>
          </cell>
          <cell r="F4">
            <v>0</v>
          </cell>
          <cell r="G4">
            <v>31</v>
          </cell>
          <cell r="H4">
            <v>0.16</v>
          </cell>
          <cell r="J4">
            <v>31</v>
          </cell>
          <cell r="K4">
            <v>0.16</v>
          </cell>
        </row>
        <row r="5">
          <cell r="A5">
            <v>44440</v>
          </cell>
          <cell r="B5">
            <v>0</v>
          </cell>
          <cell r="E5">
            <v>0</v>
          </cell>
          <cell r="F5">
            <v>0</v>
          </cell>
          <cell r="G5">
            <v>149</v>
          </cell>
          <cell r="H5">
            <v>0.77</v>
          </cell>
          <cell r="J5">
            <v>149</v>
          </cell>
          <cell r="K5">
            <v>0.77</v>
          </cell>
        </row>
        <row r="6">
          <cell r="A6">
            <v>44470</v>
          </cell>
          <cell r="B6">
            <v>0</v>
          </cell>
          <cell r="E6">
            <v>0</v>
          </cell>
          <cell r="F6">
            <v>0</v>
          </cell>
          <cell r="G6">
            <v>280</v>
          </cell>
          <cell r="H6">
            <v>1.5</v>
          </cell>
          <cell r="J6">
            <v>280</v>
          </cell>
          <cell r="K6">
            <v>1.5</v>
          </cell>
        </row>
        <row r="7">
          <cell r="A7">
            <v>44501</v>
          </cell>
          <cell r="B7">
            <v>0</v>
          </cell>
          <cell r="E7">
            <v>0</v>
          </cell>
          <cell r="F7">
            <v>0</v>
          </cell>
          <cell r="G7">
            <v>462</v>
          </cell>
          <cell r="H7">
            <v>2.71</v>
          </cell>
          <cell r="J7">
            <v>462</v>
          </cell>
          <cell r="K7">
            <v>2.71</v>
          </cell>
        </row>
        <row r="8">
          <cell r="A8">
            <v>44531</v>
          </cell>
          <cell r="B8">
            <v>28</v>
          </cell>
          <cell r="E8">
            <v>0.20900000000000002</v>
          </cell>
          <cell r="F8">
            <v>118150</v>
          </cell>
          <cell r="G8">
            <v>566</v>
          </cell>
          <cell r="H8">
            <v>3.33</v>
          </cell>
          <cell r="J8">
            <v>594</v>
          </cell>
          <cell r="K8">
            <v>3.5390000000000001</v>
          </cell>
        </row>
        <row r="9">
          <cell r="A9">
            <v>44562</v>
          </cell>
          <cell r="B9">
            <v>62</v>
          </cell>
          <cell r="E9">
            <v>0.48099999999999998</v>
          </cell>
          <cell r="F9">
            <v>261800</v>
          </cell>
          <cell r="G9">
            <v>664</v>
          </cell>
          <cell r="H9">
            <v>3.9489999999999998</v>
          </cell>
          <cell r="J9">
            <v>726</v>
          </cell>
          <cell r="K9">
            <v>4.43</v>
          </cell>
        </row>
        <row r="10">
          <cell r="A10">
            <v>44593</v>
          </cell>
          <cell r="B10">
            <v>114</v>
          </cell>
          <cell r="E10">
            <v>1.1930000000000001</v>
          </cell>
          <cell r="F10">
            <v>502554</v>
          </cell>
          <cell r="G10">
            <v>653</v>
          </cell>
          <cell r="H10">
            <v>3.9179999999999997</v>
          </cell>
          <cell r="J10">
            <v>767</v>
          </cell>
          <cell r="K10">
            <v>5.1109999999999998</v>
          </cell>
        </row>
        <row r="11">
          <cell r="A11">
            <v>44621</v>
          </cell>
          <cell r="B11">
            <v>178</v>
          </cell>
          <cell r="E11">
            <v>1.69</v>
          </cell>
          <cell r="F11">
            <v>756815</v>
          </cell>
          <cell r="G11">
            <v>709</v>
          </cell>
          <cell r="H11">
            <v>4.2300000000000004</v>
          </cell>
          <cell r="J11">
            <v>887</v>
          </cell>
          <cell r="K11">
            <v>5.92</v>
          </cell>
        </row>
        <row r="12">
          <cell r="A12">
            <v>44652</v>
          </cell>
          <cell r="B12">
            <v>235</v>
          </cell>
          <cell r="E12">
            <v>2.1799999999999997</v>
          </cell>
          <cell r="F12">
            <v>1014263</v>
          </cell>
          <cell r="G12">
            <v>758</v>
          </cell>
          <cell r="H12">
            <v>4.54</v>
          </cell>
          <cell r="J12">
            <v>993</v>
          </cell>
          <cell r="K12">
            <v>6.72</v>
          </cell>
        </row>
        <row r="13">
          <cell r="A13">
            <v>44682</v>
          </cell>
          <cell r="B13">
            <v>303</v>
          </cell>
          <cell r="E13">
            <v>2.88</v>
          </cell>
          <cell r="F13">
            <v>1395029</v>
          </cell>
          <cell r="G13">
            <v>863</v>
          </cell>
          <cell r="H13">
            <v>5.14</v>
          </cell>
          <cell r="J13">
            <v>1166</v>
          </cell>
          <cell r="K13">
            <v>8.02</v>
          </cell>
        </row>
        <row r="14">
          <cell r="A14">
            <v>44713</v>
          </cell>
          <cell r="B14">
            <v>390</v>
          </cell>
          <cell r="E14">
            <v>3.71</v>
          </cell>
          <cell r="F14">
            <v>1864535</v>
          </cell>
          <cell r="G14">
            <v>885</v>
          </cell>
          <cell r="H14">
            <v>5.31</v>
          </cell>
          <cell r="J14">
            <v>1275</v>
          </cell>
          <cell r="K14">
            <v>9.02</v>
          </cell>
        </row>
        <row r="15">
          <cell r="A15">
            <v>44743</v>
          </cell>
          <cell r="B15">
            <v>464</v>
          </cell>
          <cell r="E15">
            <v>4.45</v>
          </cell>
          <cell r="F15">
            <v>2277550</v>
          </cell>
          <cell r="G15">
            <v>956</v>
          </cell>
          <cell r="H15">
            <v>5.7200000000000006</v>
          </cell>
          <cell r="J15">
            <v>1420</v>
          </cell>
          <cell r="K15">
            <v>10.170000000000002</v>
          </cell>
        </row>
        <row r="16">
          <cell r="A16">
            <v>44774</v>
          </cell>
          <cell r="B16">
            <v>586</v>
          </cell>
          <cell r="E16">
            <v>5.41</v>
          </cell>
          <cell r="F16">
            <v>2960814</v>
          </cell>
          <cell r="G16">
            <v>1098</v>
          </cell>
          <cell r="H16">
            <v>6.64</v>
          </cell>
          <cell r="J16">
            <v>1684</v>
          </cell>
          <cell r="K16">
            <v>12.05</v>
          </cell>
        </row>
        <row r="17">
          <cell r="A17">
            <v>44805</v>
          </cell>
          <cell r="B17">
            <v>651</v>
          </cell>
          <cell r="E17">
            <v>6.04</v>
          </cell>
          <cell r="F17">
            <v>3304214</v>
          </cell>
          <cell r="G17">
            <v>1187</v>
          </cell>
          <cell r="H17">
            <v>7.45</v>
          </cell>
          <cell r="J17">
            <v>1838</v>
          </cell>
          <cell r="K17">
            <v>13.49</v>
          </cell>
        </row>
        <row r="18">
          <cell r="A18">
            <v>44835</v>
          </cell>
          <cell r="B18">
            <v>686</v>
          </cell>
          <cell r="E18">
            <v>6.35</v>
          </cell>
          <cell r="F18">
            <v>3468009</v>
          </cell>
          <cell r="G18">
            <v>1361</v>
          </cell>
          <cell r="H18">
            <v>7.1000000000000005</v>
          </cell>
          <cell r="J18">
            <v>2047</v>
          </cell>
          <cell r="K18">
            <v>13.45</v>
          </cell>
        </row>
        <row r="19">
          <cell r="A19">
            <v>44866</v>
          </cell>
          <cell r="B19">
            <v>822</v>
          </cell>
          <cell r="E19">
            <v>7.57</v>
          </cell>
          <cell r="F19">
            <v>4185426</v>
          </cell>
          <cell r="G19">
            <v>1526</v>
          </cell>
          <cell r="H19">
            <v>9.81</v>
          </cell>
          <cell r="J19">
            <v>2348</v>
          </cell>
          <cell r="K19">
            <v>17.380000000000003</v>
          </cell>
        </row>
        <row r="20">
          <cell r="A20">
            <v>44896</v>
          </cell>
          <cell r="B20">
            <v>942</v>
          </cell>
          <cell r="E20">
            <v>9.09</v>
          </cell>
          <cell r="F20">
            <v>4925374</v>
          </cell>
          <cell r="G20">
            <v>1617</v>
          </cell>
          <cell r="H20">
            <v>10.55</v>
          </cell>
          <cell r="J20">
            <v>2559</v>
          </cell>
          <cell r="K20">
            <v>19.64</v>
          </cell>
        </row>
        <row r="21">
          <cell r="A21">
            <v>44927</v>
          </cell>
          <cell r="B21">
            <v>1040</v>
          </cell>
          <cell r="E21">
            <v>10.0304</v>
          </cell>
          <cell r="F21">
            <v>5413693</v>
          </cell>
          <cell r="G21">
            <v>1786</v>
          </cell>
          <cell r="H21">
            <v>11.920000000000002</v>
          </cell>
          <cell r="J21">
            <v>2826</v>
          </cell>
          <cell r="K21">
            <v>21.950400000000002</v>
          </cell>
        </row>
        <row r="22">
          <cell r="A22">
            <v>44958</v>
          </cell>
          <cell r="B22">
            <v>1156</v>
          </cell>
          <cell r="E22">
            <v>11.205399999999999</v>
          </cell>
          <cell r="F22">
            <v>6017856</v>
          </cell>
          <cell r="G22">
            <v>1955</v>
          </cell>
          <cell r="H22">
            <v>13.570000000000002</v>
          </cell>
          <cell r="J22">
            <v>3111</v>
          </cell>
          <cell r="K22">
            <v>24.775400000000001</v>
          </cell>
        </row>
        <row r="23">
          <cell r="A23">
            <v>44986</v>
          </cell>
          <cell r="B23">
            <v>1270</v>
          </cell>
          <cell r="E23">
            <v>12.23</v>
          </cell>
          <cell r="F23">
            <v>6572178</v>
          </cell>
          <cell r="G23">
            <v>2223</v>
          </cell>
          <cell r="H23">
            <v>15.83</v>
          </cell>
          <cell r="J23">
            <v>3493</v>
          </cell>
          <cell r="K23">
            <v>28.060000000000002</v>
          </cell>
        </row>
        <row r="24">
          <cell r="A24">
            <v>45017</v>
          </cell>
          <cell r="B24">
            <v>1572</v>
          </cell>
          <cell r="E24">
            <v>14.95</v>
          </cell>
          <cell r="F24">
            <v>8136532</v>
          </cell>
          <cell r="G24">
            <v>2262</v>
          </cell>
          <cell r="H24">
            <v>16.52</v>
          </cell>
          <cell r="J24">
            <v>3834</v>
          </cell>
          <cell r="K24">
            <v>31.47</v>
          </cell>
        </row>
        <row r="25">
          <cell r="A25">
            <v>45047</v>
          </cell>
          <cell r="B25">
            <v>1767</v>
          </cell>
          <cell r="E25">
            <v>17.11</v>
          </cell>
          <cell r="F25">
            <v>9348071</v>
          </cell>
          <cell r="G25">
            <v>2393</v>
          </cell>
          <cell r="H25">
            <v>17.27</v>
          </cell>
          <cell r="J25">
            <v>4160</v>
          </cell>
          <cell r="K25">
            <v>34.379999999999995</v>
          </cell>
        </row>
        <row r="26">
          <cell r="A26">
            <v>45078</v>
          </cell>
          <cell r="B26">
            <v>1945</v>
          </cell>
          <cell r="E26">
            <v>18.91</v>
          </cell>
          <cell r="F26">
            <v>10367501</v>
          </cell>
          <cell r="G26">
            <v>2487</v>
          </cell>
          <cell r="H26">
            <v>18.22</v>
          </cell>
          <cell r="J26">
            <v>4432</v>
          </cell>
          <cell r="K26">
            <v>37.129999999999995</v>
          </cell>
        </row>
        <row r="27">
          <cell r="A27">
            <v>45108</v>
          </cell>
          <cell r="B27">
            <v>2005</v>
          </cell>
          <cell r="E27">
            <v>19.59</v>
          </cell>
          <cell r="F27">
            <v>10746023</v>
          </cell>
          <cell r="G27">
            <v>2643</v>
          </cell>
          <cell r="H27">
            <v>19.279999999999998</v>
          </cell>
          <cell r="J27">
            <v>4648</v>
          </cell>
          <cell r="K27">
            <v>38.869999999999997</v>
          </cell>
        </row>
        <row r="28">
          <cell r="A28">
            <v>45139</v>
          </cell>
          <cell r="B28">
            <v>2259</v>
          </cell>
          <cell r="E28">
            <v>22.1</v>
          </cell>
          <cell r="F28">
            <v>12262993</v>
          </cell>
          <cell r="G28">
            <v>2663</v>
          </cell>
          <cell r="H28">
            <v>19.399999999999999</v>
          </cell>
          <cell r="J28">
            <v>4922</v>
          </cell>
          <cell r="K28">
            <v>41.5</v>
          </cell>
        </row>
        <row r="29">
          <cell r="A29">
            <v>45170</v>
          </cell>
          <cell r="B29">
            <v>2492</v>
          </cell>
          <cell r="E29">
            <v>24.36</v>
          </cell>
          <cell r="F29">
            <v>13624565</v>
          </cell>
          <cell r="G29">
            <v>2832</v>
          </cell>
          <cell r="H29">
            <v>20.410000000000004</v>
          </cell>
          <cell r="J29">
            <v>5324</v>
          </cell>
          <cell r="K29">
            <v>44.77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5E140-88A5-4FFD-879B-CFC5BCC017F7}">
  <dimension ref="A1:K29"/>
  <sheetViews>
    <sheetView topLeftCell="A5" zoomScale="70" zoomScaleNormal="70" workbookViewId="0">
      <selection activeCell="U30" sqref="U30"/>
    </sheetView>
  </sheetViews>
  <sheetFormatPr defaultColWidth="9.85546875" defaultRowHeight="15" x14ac:dyDescent="0.25"/>
  <cols>
    <col min="1" max="2" width="15.28515625" customWidth="1"/>
    <col min="3" max="3" width="19.7109375" customWidth="1"/>
    <col min="4" max="4" width="14.28515625" customWidth="1"/>
    <col min="5" max="5" width="20.42578125" customWidth="1"/>
    <col min="6" max="9" width="15.28515625" customWidth="1"/>
    <col min="10" max="10" width="12.85546875" customWidth="1"/>
    <col min="11" max="11" width="16.140625" customWidth="1"/>
  </cols>
  <sheetData>
    <row r="1" spans="1:11" ht="29.45" customHeight="1" x14ac:dyDescent="0.25">
      <c r="A1" s="6" t="s">
        <v>11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ht="45" x14ac:dyDescent="0.25">
      <c r="A2" s="4" t="s">
        <v>10</v>
      </c>
      <c r="B2" s="3" t="s">
        <v>9</v>
      </c>
      <c r="C2" s="3" t="s">
        <v>8</v>
      </c>
      <c r="D2" s="3" t="s">
        <v>7</v>
      </c>
      <c r="E2" s="3" t="s">
        <v>6</v>
      </c>
      <c r="F2" s="3" t="s">
        <v>5</v>
      </c>
      <c r="G2" s="3" t="s">
        <v>4</v>
      </c>
      <c r="H2" s="3" t="s">
        <v>3</v>
      </c>
      <c r="I2" s="3" t="s">
        <v>2</v>
      </c>
      <c r="J2" s="3" t="s">
        <v>1</v>
      </c>
      <c r="K2" s="3" t="s">
        <v>0</v>
      </c>
    </row>
    <row r="3" spans="1:11" x14ac:dyDescent="0.25">
      <c r="A3" s="2">
        <v>44378</v>
      </c>
      <c r="B3">
        <f>'Battery Bonus O''ahu'!B4+'Battery Bonus Maui'!B4</f>
        <v>0</v>
      </c>
      <c r="C3">
        <f>'Battery Bonus O''ahu'!C4+'Battery Bonus Maui'!C4</f>
        <v>0</v>
      </c>
      <c r="D3">
        <f>'Battery Bonus O''ahu'!D4+'Battery Bonus Maui'!D4</f>
        <v>0</v>
      </c>
      <c r="E3">
        <f t="shared" ref="E3:E29" si="0">C3+D3</f>
        <v>0</v>
      </c>
      <c r="F3" s="1">
        <f>'Battery Bonus O''ahu'!G4+'Battery Bonus Maui'!G4</f>
        <v>0</v>
      </c>
      <c r="G3">
        <f>'Battery Bonus O''ahu'!H4+'Battery Bonus Maui'!H4</f>
        <v>0</v>
      </c>
      <c r="H3">
        <v>0</v>
      </c>
      <c r="I3">
        <f>'Battery Bonus O''ahu'!K4+'Battery Bonus Maui'!K4</f>
        <v>2</v>
      </c>
      <c r="J3">
        <f t="shared" ref="J3:J29" si="1">B3+G3</f>
        <v>0</v>
      </c>
      <c r="K3">
        <f t="shared" ref="K3:K29" si="2">E3+H3</f>
        <v>0</v>
      </c>
    </row>
    <row r="4" spans="1:11" x14ac:dyDescent="0.25">
      <c r="A4" s="2">
        <v>44409</v>
      </c>
      <c r="B4">
        <f>'Battery Bonus O''ahu'!B5+'Battery Bonus Maui'!B5</f>
        <v>0</v>
      </c>
      <c r="C4">
        <f>'Battery Bonus O''ahu'!C5+'Battery Bonus Maui'!C5</f>
        <v>0</v>
      </c>
      <c r="D4">
        <f>'Battery Bonus O''ahu'!D5+'Battery Bonus Maui'!D5</f>
        <v>0</v>
      </c>
      <c r="E4">
        <f t="shared" si="0"/>
        <v>0</v>
      </c>
      <c r="F4" s="1">
        <f>'Battery Bonus O''ahu'!F5+'Battery Bonus Maui'!F5</f>
        <v>0</v>
      </c>
      <c r="G4">
        <f>'Battery Bonus O''ahu'!G5+'Battery Bonus Maui'!G5</f>
        <v>31</v>
      </c>
      <c r="H4">
        <f>'Battery Bonus O''ahu'!H5+'Battery Bonus Maui'!H5</f>
        <v>0.16</v>
      </c>
      <c r="I4">
        <f>'Battery Bonus O''ahu'!K5+'Battery Bonus Maui'!K5</f>
        <v>25</v>
      </c>
      <c r="J4">
        <f t="shared" si="1"/>
        <v>31</v>
      </c>
      <c r="K4">
        <f t="shared" si="2"/>
        <v>0.16</v>
      </c>
    </row>
    <row r="5" spans="1:11" x14ac:dyDescent="0.25">
      <c r="A5" s="2">
        <v>44440</v>
      </c>
      <c r="B5">
        <f>'Battery Bonus O''ahu'!B6+'Battery Bonus Maui'!B6</f>
        <v>0</v>
      </c>
      <c r="C5">
        <f>'Battery Bonus O''ahu'!C6+'Battery Bonus Maui'!C6</f>
        <v>0</v>
      </c>
      <c r="D5">
        <f>'Battery Bonus O''ahu'!D6+'Battery Bonus Maui'!D6</f>
        <v>0</v>
      </c>
      <c r="E5">
        <f t="shared" si="0"/>
        <v>0</v>
      </c>
      <c r="F5" s="1">
        <f>'Battery Bonus O''ahu'!F6+'Battery Bonus Maui'!F6</f>
        <v>0</v>
      </c>
      <c r="G5">
        <f>'Battery Bonus O''ahu'!G6+'Battery Bonus Maui'!G6</f>
        <v>149</v>
      </c>
      <c r="H5">
        <f>'Battery Bonus O''ahu'!H6+'Battery Bonus Maui'!H6</f>
        <v>0.77</v>
      </c>
      <c r="I5">
        <f>'Battery Bonus O''ahu'!K6+'Battery Bonus Maui'!K6</f>
        <v>24</v>
      </c>
      <c r="J5">
        <f t="shared" si="1"/>
        <v>149</v>
      </c>
      <c r="K5">
        <f t="shared" si="2"/>
        <v>0.77</v>
      </c>
    </row>
    <row r="6" spans="1:11" x14ac:dyDescent="0.25">
      <c r="A6" s="2">
        <v>44470</v>
      </c>
      <c r="B6">
        <f>'Battery Bonus O''ahu'!B7+'Battery Bonus Maui'!B7</f>
        <v>0</v>
      </c>
      <c r="C6">
        <f>'Battery Bonus O''ahu'!C7+'Battery Bonus Maui'!C7</f>
        <v>0</v>
      </c>
      <c r="D6">
        <f>'Battery Bonus O''ahu'!D7+'Battery Bonus Maui'!D7</f>
        <v>0</v>
      </c>
      <c r="E6">
        <f t="shared" si="0"/>
        <v>0</v>
      </c>
      <c r="F6" s="1">
        <f>'Battery Bonus O''ahu'!F7+'Battery Bonus Maui'!F7</f>
        <v>0</v>
      </c>
      <c r="G6">
        <f>'Battery Bonus O''ahu'!G7+'Battery Bonus Maui'!G7</f>
        <v>280</v>
      </c>
      <c r="H6">
        <f>'Battery Bonus O''ahu'!H7+'Battery Bonus Maui'!H7</f>
        <v>1.5</v>
      </c>
      <c r="I6">
        <f>'Battery Bonus O''ahu'!K7+'Battery Bonus Maui'!K7</f>
        <v>35</v>
      </c>
      <c r="J6">
        <f t="shared" si="1"/>
        <v>280</v>
      </c>
      <c r="K6">
        <f t="shared" si="2"/>
        <v>1.5</v>
      </c>
    </row>
    <row r="7" spans="1:11" x14ac:dyDescent="0.25">
      <c r="A7" s="2">
        <v>44501</v>
      </c>
      <c r="B7">
        <f>'Battery Bonus O''ahu'!B8+'Battery Bonus Maui'!B8</f>
        <v>0</v>
      </c>
      <c r="C7">
        <f>'Battery Bonus O''ahu'!C8+'Battery Bonus Maui'!C8</f>
        <v>0</v>
      </c>
      <c r="D7">
        <f>'Battery Bonus O''ahu'!D8+'Battery Bonus Maui'!D8</f>
        <v>0</v>
      </c>
      <c r="E7">
        <f t="shared" si="0"/>
        <v>0</v>
      </c>
      <c r="F7" s="1">
        <f>'Battery Bonus O''ahu'!F8+'Battery Bonus Maui'!F8</f>
        <v>0</v>
      </c>
      <c r="G7">
        <f>'Battery Bonus O''ahu'!G8+'Battery Bonus Maui'!G8</f>
        <v>462</v>
      </c>
      <c r="H7">
        <f>'Battery Bonus O''ahu'!H8+'Battery Bonus Maui'!H8</f>
        <v>2.71</v>
      </c>
      <c r="I7">
        <f>'Battery Bonus O''ahu'!K8+'Battery Bonus Maui'!K8</f>
        <v>27</v>
      </c>
      <c r="J7">
        <f t="shared" si="1"/>
        <v>462</v>
      </c>
      <c r="K7">
        <f t="shared" si="2"/>
        <v>2.71</v>
      </c>
    </row>
    <row r="8" spans="1:11" x14ac:dyDescent="0.25">
      <c r="A8" s="2">
        <v>44531</v>
      </c>
      <c r="B8">
        <f>'Battery Bonus O''ahu'!B9+'Battery Bonus Maui'!B9</f>
        <v>28</v>
      </c>
      <c r="C8">
        <f>'Battery Bonus O''ahu'!C9+'Battery Bonus Maui'!C9</f>
        <v>0.14000000000000001</v>
      </c>
      <c r="D8">
        <f>'Battery Bonus O''ahu'!D9+'Battery Bonus Maui'!D9</f>
        <v>6.9000000000000006E-2</v>
      </c>
      <c r="E8">
        <f t="shared" si="0"/>
        <v>0.20900000000000002</v>
      </c>
      <c r="F8" s="1">
        <f>'Battery Bonus O''ahu'!F9+'Battery Bonus Maui'!F9</f>
        <v>118150</v>
      </c>
      <c r="G8">
        <f>'Battery Bonus O''ahu'!G9+'Battery Bonus Maui'!G9</f>
        <v>566</v>
      </c>
      <c r="H8">
        <f>'Battery Bonus O''ahu'!H9+'Battery Bonus Maui'!H9</f>
        <v>3.33</v>
      </c>
      <c r="I8">
        <f>'Battery Bonus O''ahu'!K9+'Battery Bonus Maui'!K9</f>
        <v>41</v>
      </c>
      <c r="J8">
        <f t="shared" si="1"/>
        <v>594</v>
      </c>
      <c r="K8">
        <f t="shared" si="2"/>
        <v>3.5390000000000001</v>
      </c>
    </row>
    <row r="9" spans="1:11" x14ac:dyDescent="0.25">
      <c r="A9" s="2">
        <v>44562</v>
      </c>
      <c r="B9">
        <f>'Battery Bonus O''ahu'!B10+'Battery Bonus Maui'!B10</f>
        <v>62</v>
      </c>
      <c r="C9">
        <f>'Battery Bonus O''ahu'!C10+'Battery Bonus Maui'!C10</f>
        <v>0.308</v>
      </c>
      <c r="D9">
        <f>'Battery Bonus O''ahu'!D10+'Battery Bonus Maui'!D10</f>
        <v>0.17299999999999999</v>
      </c>
      <c r="E9">
        <f t="shared" si="0"/>
        <v>0.48099999999999998</v>
      </c>
      <c r="F9" s="1">
        <f>'Battery Bonus O''ahu'!F10+'Battery Bonus Maui'!F10</f>
        <v>261800</v>
      </c>
      <c r="G9">
        <f>'Battery Bonus O''ahu'!G10+'Battery Bonus Maui'!G10</f>
        <v>664</v>
      </c>
      <c r="H9">
        <f>'Battery Bonus O''ahu'!H10+'Battery Bonus Maui'!H10</f>
        <v>3.9489999999999998</v>
      </c>
      <c r="I9">
        <f>'Battery Bonus O''ahu'!K10+'Battery Bonus Maui'!K10</f>
        <v>39</v>
      </c>
      <c r="J9">
        <f t="shared" si="1"/>
        <v>726</v>
      </c>
      <c r="K9">
        <f t="shared" si="2"/>
        <v>4.43</v>
      </c>
    </row>
    <row r="10" spans="1:11" x14ac:dyDescent="0.25">
      <c r="A10" s="2">
        <v>44593</v>
      </c>
      <c r="B10">
        <f>'Battery Bonus O''ahu'!B11+'Battery Bonus Maui'!B11</f>
        <v>114</v>
      </c>
      <c r="C10">
        <f>'Battery Bonus O''ahu'!C11+'Battery Bonus Maui'!C11</f>
        <v>0.59099999999999997</v>
      </c>
      <c r="D10">
        <f>'Battery Bonus O''ahu'!D11+'Battery Bonus Maui'!D11</f>
        <v>0.60199999999999998</v>
      </c>
      <c r="E10">
        <f t="shared" si="0"/>
        <v>1.1930000000000001</v>
      </c>
      <c r="F10" s="1">
        <f>'Battery Bonus O''ahu'!F11+'Battery Bonus Maui'!F11</f>
        <v>502554</v>
      </c>
      <c r="G10">
        <f>'Battery Bonus O''ahu'!G11+'Battery Bonus Maui'!G11</f>
        <v>653</v>
      </c>
      <c r="H10">
        <f>'Battery Bonus O''ahu'!H11+'Battery Bonus Maui'!H11</f>
        <v>3.9179999999999997</v>
      </c>
      <c r="I10">
        <f>'Battery Bonus O''ahu'!K11+'Battery Bonus Maui'!K11</f>
        <v>63</v>
      </c>
      <c r="J10">
        <f t="shared" si="1"/>
        <v>767</v>
      </c>
      <c r="K10">
        <f t="shared" si="2"/>
        <v>5.1109999999999998</v>
      </c>
    </row>
    <row r="11" spans="1:11" x14ac:dyDescent="0.25">
      <c r="A11" s="2">
        <v>44621</v>
      </c>
      <c r="B11">
        <f>'Battery Bonus O''ahu'!B12+'Battery Bonus Maui'!B12</f>
        <v>178</v>
      </c>
      <c r="C11">
        <f>'Battery Bonus O''ahu'!C12+'Battery Bonus Maui'!C12</f>
        <v>0.89</v>
      </c>
      <c r="D11">
        <f>'Battery Bonus O''ahu'!D12+'Battery Bonus Maui'!D12</f>
        <v>0.8</v>
      </c>
      <c r="E11">
        <f t="shared" si="0"/>
        <v>1.69</v>
      </c>
      <c r="F11" s="1">
        <f>'Battery Bonus O''ahu'!F12+'Battery Bonus Maui'!F12</f>
        <v>756815</v>
      </c>
      <c r="G11">
        <f>'Battery Bonus O''ahu'!G12+'Battery Bonus Maui'!G12</f>
        <v>709</v>
      </c>
      <c r="H11">
        <f>'Battery Bonus O''ahu'!H12+'Battery Bonus Maui'!H12</f>
        <v>4.2300000000000004</v>
      </c>
      <c r="I11">
        <f>'Battery Bonus O''ahu'!K12+'Battery Bonus Maui'!K12</f>
        <v>57</v>
      </c>
      <c r="J11">
        <f t="shared" si="1"/>
        <v>887</v>
      </c>
      <c r="K11">
        <f t="shared" si="2"/>
        <v>5.92</v>
      </c>
    </row>
    <row r="12" spans="1:11" x14ac:dyDescent="0.25">
      <c r="A12" s="2">
        <v>44652</v>
      </c>
      <c r="B12">
        <f>'Battery Bonus O''ahu'!B13+'Battery Bonus Maui'!B13</f>
        <v>235</v>
      </c>
      <c r="C12">
        <f>'Battery Bonus O''ahu'!C13+'Battery Bonus Maui'!C13</f>
        <v>1.19</v>
      </c>
      <c r="D12">
        <f>'Battery Bonus O''ahu'!D13+'Battery Bonus Maui'!D13</f>
        <v>0.99</v>
      </c>
      <c r="E12">
        <f t="shared" si="0"/>
        <v>2.1799999999999997</v>
      </c>
      <c r="F12" s="1">
        <f>'Battery Bonus O''ahu'!F13+'Battery Bonus Maui'!F13</f>
        <v>1014263</v>
      </c>
      <c r="G12">
        <f>'Battery Bonus O''ahu'!G13+'Battery Bonus Maui'!G13</f>
        <v>758</v>
      </c>
      <c r="H12">
        <f>'Battery Bonus O''ahu'!H13+'Battery Bonus Maui'!H13</f>
        <v>4.54</v>
      </c>
      <c r="I12">
        <f>'Battery Bonus O''ahu'!K13+'Battery Bonus Maui'!K13</f>
        <v>70</v>
      </c>
      <c r="J12">
        <f t="shared" si="1"/>
        <v>993</v>
      </c>
      <c r="K12">
        <f t="shared" si="2"/>
        <v>6.72</v>
      </c>
    </row>
    <row r="13" spans="1:11" x14ac:dyDescent="0.25">
      <c r="A13" s="2">
        <v>44682</v>
      </c>
      <c r="B13">
        <f>'Battery Bonus O''ahu'!B14+'Battery Bonus Maui'!B14</f>
        <v>303</v>
      </c>
      <c r="C13">
        <f>'Battery Bonus O''ahu'!C14+'Battery Bonus Maui'!C14</f>
        <v>1.64</v>
      </c>
      <c r="D13">
        <f>'Battery Bonus O''ahu'!D14+'Battery Bonus Maui'!D14</f>
        <v>1.24</v>
      </c>
      <c r="E13">
        <f t="shared" si="0"/>
        <v>2.88</v>
      </c>
      <c r="F13" s="1">
        <f>'Battery Bonus O''ahu'!F14+'Battery Bonus Maui'!F14</f>
        <v>1395029</v>
      </c>
      <c r="G13">
        <f>'Battery Bonus O''ahu'!G14+'Battery Bonus Maui'!G14</f>
        <v>863</v>
      </c>
      <c r="H13">
        <f>'Battery Bonus O''ahu'!H14+'Battery Bonus Maui'!H14</f>
        <v>5.14</v>
      </c>
      <c r="I13">
        <f>'Battery Bonus O''ahu'!K14+'Battery Bonus Maui'!K14</f>
        <v>48</v>
      </c>
      <c r="J13">
        <f t="shared" si="1"/>
        <v>1166</v>
      </c>
      <c r="K13">
        <f t="shared" si="2"/>
        <v>8.02</v>
      </c>
    </row>
    <row r="14" spans="1:11" x14ac:dyDescent="0.25">
      <c r="A14" s="2">
        <v>44713</v>
      </c>
      <c r="B14">
        <f>'Battery Bonus O''ahu'!B15+'Battery Bonus Maui'!B15</f>
        <v>390</v>
      </c>
      <c r="C14">
        <f>'Battery Bonus O''ahu'!C15+'Battery Bonus Maui'!C15</f>
        <v>2.19</v>
      </c>
      <c r="D14">
        <f>'Battery Bonus O''ahu'!D15+'Battery Bonus Maui'!D15</f>
        <v>1.52</v>
      </c>
      <c r="E14">
        <f t="shared" si="0"/>
        <v>3.71</v>
      </c>
      <c r="F14" s="1">
        <f>'Battery Bonus O''ahu'!F15+'Battery Bonus Maui'!F15</f>
        <v>1864535</v>
      </c>
      <c r="G14">
        <f>'Battery Bonus O''ahu'!G15+'Battery Bonus Maui'!G15</f>
        <v>885</v>
      </c>
      <c r="H14">
        <f>'Battery Bonus O''ahu'!H15+'Battery Bonus Maui'!H15</f>
        <v>5.31</v>
      </c>
      <c r="I14">
        <f>'Battery Bonus O''ahu'!K15+'Battery Bonus Maui'!K15</f>
        <v>33</v>
      </c>
      <c r="J14">
        <f t="shared" si="1"/>
        <v>1275</v>
      </c>
      <c r="K14">
        <f t="shared" si="2"/>
        <v>9.02</v>
      </c>
    </row>
    <row r="15" spans="1:11" x14ac:dyDescent="0.25">
      <c r="A15" s="2">
        <v>44743</v>
      </c>
      <c r="B15">
        <f>'Battery Bonus O''ahu'!B16+'Battery Bonus Maui'!B16</f>
        <v>464</v>
      </c>
      <c r="C15">
        <f>'Battery Bonus O''ahu'!C16+'Battery Bonus Maui'!C16</f>
        <v>2.69</v>
      </c>
      <c r="D15">
        <f>'Battery Bonus O''ahu'!D16+'Battery Bonus Maui'!D16</f>
        <v>1.76</v>
      </c>
      <c r="E15">
        <f t="shared" si="0"/>
        <v>4.45</v>
      </c>
      <c r="F15" s="1">
        <f>'Battery Bonus O''ahu'!F16+'Battery Bonus Maui'!F16</f>
        <v>2277550</v>
      </c>
      <c r="G15">
        <f>'Battery Bonus O''ahu'!G16+'Battery Bonus Maui'!G16</f>
        <v>956</v>
      </c>
      <c r="H15">
        <f>'Battery Bonus O''ahu'!H16+'Battery Bonus Maui'!H16</f>
        <v>5.7200000000000006</v>
      </c>
      <c r="I15">
        <f>'Battery Bonus O''ahu'!K16+'Battery Bonus Maui'!K16</f>
        <v>58</v>
      </c>
      <c r="J15">
        <f t="shared" si="1"/>
        <v>1420</v>
      </c>
      <c r="K15">
        <f t="shared" si="2"/>
        <v>10.170000000000002</v>
      </c>
    </row>
    <row r="16" spans="1:11" x14ac:dyDescent="0.25">
      <c r="A16" s="2">
        <v>44774</v>
      </c>
      <c r="B16">
        <f>'Battery Bonus O''ahu'!B17+'Battery Bonus Maui'!B17</f>
        <v>586</v>
      </c>
      <c r="C16">
        <f>'Battery Bonus O''ahu'!C17+'Battery Bonus Maui'!C17</f>
        <v>3.48</v>
      </c>
      <c r="D16">
        <f>'Battery Bonus O''ahu'!D17+'Battery Bonus Maui'!D17</f>
        <v>1.93</v>
      </c>
      <c r="E16">
        <f t="shared" si="0"/>
        <v>5.41</v>
      </c>
      <c r="F16" s="1">
        <f>'Battery Bonus O''ahu'!F17+'Battery Bonus Maui'!F17</f>
        <v>2960814</v>
      </c>
      <c r="G16">
        <f>'Battery Bonus O''ahu'!G17+'Battery Bonus Maui'!G17</f>
        <v>1098</v>
      </c>
      <c r="H16">
        <f>'Battery Bonus O''ahu'!H17+'Battery Bonus Maui'!H17</f>
        <v>6.64</v>
      </c>
      <c r="I16">
        <f>'Battery Bonus O''ahu'!K17+'Battery Bonus Maui'!K17</f>
        <v>62</v>
      </c>
      <c r="J16">
        <f t="shared" si="1"/>
        <v>1684</v>
      </c>
      <c r="K16">
        <f t="shared" si="2"/>
        <v>12.05</v>
      </c>
    </row>
    <row r="17" spans="1:11" x14ac:dyDescent="0.25">
      <c r="A17" s="2">
        <v>44805</v>
      </c>
      <c r="B17">
        <f>'Battery Bonus O''ahu'!B18+'Battery Bonus Maui'!B18</f>
        <v>651</v>
      </c>
      <c r="C17">
        <f>'Battery Bonus O''ahu'!C18+'Battery Bonus Maui'!C18</f>
        <v>3.89</v>
      </c>
      <c r="D17">
        <f>'Battery Bonus O''ahu'!D18+'Battery Bonus Maui'!D18</f>
        <v>2.15</v>
      </c>
      <c r="E17">
        <f t="shared" si="0"/>
        <v>6.04</v>
      </c>
      <c r="F17" s="1">
        <f>'Battery Bonus O''ahu'!F18+'Battery Bonus Maui'!F18</f>
        <v>3304214</v>
      </c>
      <c r="G17">
        <f>'Battery Bonus O''ahu'!G18+'Battery Bonus Maui'!G18</f>
        <v>1187</v>
      </c>
      <c r="H17">
        <f>'Battery Bonus O''ahu'!H18+'Battery Bonus Maui'!H18</f>
        <v>7.45</v>
      </c>
      <c r="I17">
        <f>'Battery Bonus O''ahu'!K18+'Battery Bonus Maui'!K18</f>
        <v>60</v>
      </c>
      <c r="J17">
        <f t="shared" si="1"/>
        <v>1838</v>
      </c>
      <c r="K17">
        <f t="shared" si="2"/>
        <v>13.49</v>
      </c>
    </row>
    <row r="18" spans="1:11" x14ac:dyDescent="0.25">
      <c r="A18" s="2">
        <v>44835</v>
      </c>
      <c r="B18">
        <f>'Battery Bonus O''ahu'!B19+'Battery Bonus Maui'!B19</f>
        <v>686</v>
      </c>
      <c r="C18">
        <f>'Battery Bonus O''ahu'!C19+'Battery Bonus Maui'!C19</f>
        <v>4.08</v>
      </c>
      <c r="D18">
        <f>'Battery Bonus O''ahu'!D19+'Battery Bonus Maui'!D19</f>
        <v>2.27</v>
      </c>
      <c r="E18">
        <f t="shared" si="0"/>
        <v>6.35</v>
      </c>
      <c r="F18" s="1">
        <f>'Battery Bonus O''ahu'!F19+'Battery Bonus Maui'!F19</f>
        <v>3468009</v>
      </c>
      <c r="G18">
        <f>'Battery Bonus O''ahu'!G19+'Battery Bonus Maui'!G19</f>
        <v>1361</v>
      </c>
      <c r="H18">
        <f>'Battery Bonus O''ahu'!H19+'Battery Bonus Maui'!H19</f>
        <v>7.1000000000000005</v>
      </c>
      <c r="I18">
        <f>'Battery Bonus O''ahu'!K19+'Battery Bonus Maui'!K19</f>
        <v>63</v>
      </c>
      <c r="J18">
        <f t="shared" si="1"/>
        <v>2047</v>
      </c>
      <c r="K18">
        <f t="shared" si="2"/>
        <v>13.45</v>
      </c>
    </row>
    <row r="19" spans="1:11" x14ac:dyDescent="0.25">
      <c r="A19" s="2">
        <v>44866</v>
      </c>
      <c r="B19">
        <f>'Battery Bonus O''ahu'!B20+'Battery Bonus Maui'!B20</f>
        <v>822</v>
      </c>
      <c r="C19">
        <f>'Battery Bonus O''ahu'!C20+'Battery Bonus Maui'!C20</f>
        <v>4.92</v>
      </c>
      <c r="D19">
        <f>'Battery Bonus O''ahu'!D20+'Battery Bonus Maui'!D20</f>
        <v>2.65</v>
      </c>
      <c r="E19">
        <f t="shared" si="0"/>
        <v>7.57</v>
      </c>
      <c r="F19" s="1">
        <f>'Battery Bonus O''ahu'!F20+'Battery Bonus Maui'!F20</f>
        <v>4185426</v>
      </c>
      <c r="G19">
        <f>'Battery Bonus O''ahu'!G20+'Battery Bonus Maui'!G20</f>
        <v>1526</v>
      </c>
      <c r="H19">
        <f>'Battery Bonus O''ahu'!H20+'Battery Bonus Maui'!H20</f>
        <v>9.81</v>
      </c>
      <c r="I19">
        <f>'Battery Bonus O''ahu'!K20+'Battery Bonus Maui'!K20</f>
        <v>51</v>
      </c>
      <c r="J19">
        <f t="shared" si="1"/>
        <v>2348</v>
      </c>
      <c r="K19">
        <f t="shared" si="2"/>
        <v>17.380000000000003</v>
      </c>
    </row>
    <row r="20" spans="1:11" x14ac:dyDescent="0.25">
      <c r="A20" s="2">
        <v>44896</v>
      </c>
      <c r="B20">
        <f>'Battery Bonus O''ahu'!B21+'Battery Bonus Maui'!B21</f>
        <v>942</v>
      </c>
      <c r="C20">
        <f>'Battery Bonus O''ahu'!C21+'Battery Bonus Maui'!C21</f>
        <v>5.79</v>
      </c>
      <c r="D20">
        <f>'Battery Bonus O''ahu'!D21+'Battery Bonus Maui'!D21</f>
        <v>3.3</v>
      </c>
      <c r="E20">
        <f t="shared" si="0"/>
        <v>9.09</v>
      </c>
      <c r="F20" s="1">
        <f>'Battery Bonus O''ahu'!F21+'Battery Bonus Maui'!F21</f>
        <v>4925374</v>
      </c>
      <c r="G20">
        <f>'Battery Bonus O''ahu'!G21+'Battery Bonus Maui'!G21</f>
        <v>1617</v>
      </c>
      <c r="H20">
        <f>'Battery Bonus O''ahu'!H21+'Battery Bonus Maui'!H21</f>
        <v>10.55</v>
      </c>
      <c r="I20">
        <f>'Battery Bonus O''ahu'!K21+'Battery Bonus Maui'!K21</f>
        <v>53</v>
      </c>
      <c r="J20">
        <f t="shared" si="1"/>
        <v>2559</v>
      </c>
      <c r="K20">
        <f t="shared" si="2"/>
        <v>19.64</v>
      </c>
    </row>
    <row r="21" spans="1:11" x14ac:dyDescent="0.25">
      <c r="A21" s="2">
        <v>44927</v>
      </c>
      <c r="B21">
        <f>'Battery Bonus O''ahu'!B22+'Battery Bonus Maui'!B22</f>
        <v>1040</v>
      </c>
      <c r="C21">
        <f>'Battery Bonus O''ahu'!C22+'Battery Bonus Maui'!C22</f>
        <v>6.3649999999999993</v>
      </c>
      <c r="D21">
        <f>'Battery Bonus O''ahu'!D22+'Battery Bonus Maui'!D22</f>
        <v>3.6654</v>
      </c>
      <c r="E21">
        <f t="shared" si="0"/>
        <v>10.0304</v>
      </c>
      <c r="F21" s="1">
        <f>'Battery Bonus O''ahu'!F22+'Battery Bonus Maui'!F22</f>
        <v>5413693</v>
      </c>
      <c r="G21">
        <f>'Battery Bonus O''ahu'!G22+'Battery Bonus Maui'!G22</f>
        <v>1786</v>
      </c>
      <c r="H21">
        <f>'Battery Bonus O''ahu'!H22+'Battery Bonus Maui'!H22</f>
        <v>11.920000000000002</v>
      </c>
      <c r="I21">
        <f>'Battery Bonus O''ahu'!K22+'Battery Bonus Maui'!K22</f>
        <v>88</v>
      </c>
      <c r="J21">
        <f t="shared" si="1"/>
        <v>2826</v>
      </c>
      <c r="K21">
        <f t="shared" si="2"/>
        <v>21.950400000000002</v>
      </c>
    </row>
    <row r="22" spans="1:11" x14ac:dyDescent="0.25">
      <c r="A22" s="2">
        <v>44958</v>
      </c>
      <c r="B22">
        <f>'Battery Bonus O''ahu'!B23+'Battery Bonus Maui'!B23</f>
        <v>1156</v>
      </c>
      <c r="C22">
        <f>'Battery Bonus O''ahu'!C23+'Battery Bonus Maui'!C23</f>
        <v>7.0799999999999992</v>
      </c>
      <c r="D22">
        <f>'Battery Bonus O''ahu'!D23+'Battery Bonus Maui'!D23</f>
        <v>4.1254</v>
      </c>
      <c r="E22">
        <f t="shared" si="0"/>
        <v>11.205399999999999</v>
      </c>
      <c r="F22" s="1">
        <f>'Battery Bonus O''ahu'!F23+'Battery Bonus Maui'!F23</f>
        <v>6017856</v>
      </c>
      <c r="G22">
        <f>'Battery Bonus O''ahu'!G23+'Battery Bonus Maui'!G23</f>
        <v>1955</v>
      </c>
      <c r="H22">
        <f>'Battery Bonus O''ahu'!H23+'Battery Bonus Maui'!H23</f>
        <v>13.570000000000002</v>
      </c>
      <c r="I22">
        <f>'Battery Bonus O''ahu'!K23+'Battery Bonus Maui'!K23</f>
        <v>77</v>
      </c>
      <c r="J22">
        <f t="shared" si="1"/>
        <v>3111</v>
      </c>
      <c r="K22">
        <f t="shared" si="2"/>
        <v>24.775400000000001</v>
      </c>
    </row>
    <row r="23" spans="1:11" x14ac:dyDescent="0.25">
      <c r="A23" s="2">
        <v>44986</v>
      </c>
      <c r="B23">
        <f>'Battery Bonus O''ahu'!B24+'Battery Bonus Maui'!B24</f>
        <v>1270</v>
      </c>
      <c r="C23">
        <f>'Battery Bonus O''ahu'!C24+'Battery Bonus Maui'!C24</f>
        <v>7.73</v>
      </c>
      <c r="D23">
        <f>'Battery Bonus O''ahu'!D24+'Battery Bonus Maui'!D24</f>
        <v>4.5</v>
      </c>
      <c r="E23">
        <f t="shared" si="0"/>
        <v>12.23</v>
      </c>
      <c r="F23" s="1">
        <f>'Battery Bonus O''ahu'!F24+'Battery Bonus Maui'!F24</f>
        <v>6572178</v>
      </c>
      <c r="G23">
        <f>'Battery Bonus O''ahu'!G24+'Battery Bonus Maui'!G24</f>
        <v>2223</v>
      </c>
      <c r="H23">
        <f>'Battery Bonus O''ahu'!H24+'Battery Bonus Maui'!H24</f>
        <v>15.83</v>
      </c>
      <c r="I23">
        <f>'Battery Bonus O''ahu'!K24+'Battery Bonus Maui'!K24</f>
        <v>90</v>
      </c>
      <c r="J23">
        <f t="shared" si="1"/>
        <v>3493</v>
      </c>
      <c r="K23">
        <f t="shared" si="2"/>
        <v>28.060000000000002</v>
      </c>
    </row>
    <row r="24" spans="1:11" x14ac:dyDescent="0.25">
      <c r="A24" s="2">
        <v>45017</v>
      </c>
      <c r="B24">
        <f>'Battery Bonus O''ahu'!B25+'Battery Bonus Maui'!B25</f>
        <v>1572</v>
      </c>
      <c r="C24">
        <f>'Battery Bonus O''ahu'!C25+'Battery Bonus Maui'!C25</f>
        <v>9.57</v>
      </c>
      <c r="D24">
        <f>'Battery Bonus O''ahu'!D25+'Battery Bonus Maui'!D25</f>
        <v>5.38</v>
      </c>
      <c r="E24">
        <f t="shared" si="0"/>
        <v>14.95</v>
      </c>
      <c r="F24" s="1">
        <f>'Battery Bonus O''ahu'!F25+'Battery Bonus Maui'!F25</f>
        <v>8136532</v>
      </c>
      <c r="G24">
        <f>'Battery Bonus O''ahu'!G25+'Battery Bonus Maui'!G25</f>
        <v>2262</v>
      </c>
      <c r="H24">
        <f>'Battery Bonus O''ahu'!H25+'Battery Bonus Maui'!H25</f>
        <v>16.52</v>
      </c>
      <c r="I24">
        <f>'Battery Bonus O''ahu'!K25+'Battery Bonus Maui'!K25</f>
        <v>81</v>
      </c>
      <c r="J24">
        <f t="shared" si="1"/>
        <v>3834</v>
      </c>
      <c r="K24">
        <f t="shared" si="2"/>
        <v>31.47</v>
      </c>
    </row>
    <row r="25" spans="1:11" x14ac:dyDescent="0.25">
      <c r="A25" s="2">
        <v>45047</v>
      </c>
      <c r="B25">
        <f>'Battery Bonus O''ahu'!B26+'Battery Bonus Maui'!B26</f>
        <v>1767</v>
      </c>
      <c r="C25">
        <f>'Battery Bonus O''ahu'!C26+'Battery Bonus Maui'!C26</f>
        <v>11</v>
      </c>
      <c r="D25">
        <f>'Battery Bonus O''ahu'!D26+'Battery Bonus Maui'!D26</f>
        <v>6.1099999999999994</v>
      </c>
      <c r="E25">
        <f t="shared" si="0"/>
        <v>17.11</v>
      </c>
      <c r="F25" s="1">
        <f>'Battery Bonus O''ahu'!F26+'Battery Bonus Maui'!F26</f>
        <v>9348071</v>
      </c>
      <c r="G25">
        <f>'Battery Bonus O''ahu'!G26+'Battery Bonus Maui'!G26</f>
        <v>2393</v>
      </c>
      <c r="H25">
        <f>'Battery Bonus O''ahu'!H26+'Battery Bonus Maui'!H26</f>
        <v>17.27</v>
      </c>
      <c r="I25">
        <f>'Battery Bonus O''ahu'!K26+'Battery Bonus Maui'!K26</f>
        <v>58</v>
      </c>
      <c r="J25">
        <f t="shared" si="1"/>
        <v>4160</v>
      </c>
      <c r="K25">
        <f t="shared" si="2"/>
        <v>34.379999999999995</v>
      </c>
    </row>
    <row r="26" spans="1:11" x14ac:dyDescent="0.25">
      <c r="A26" s="2">
        <v>45078</v>
      </c>
      <c r="B26">
        <f>'Battery Bonus O''ahu'!B27+'Battery Bonus Maui'!B27</f>
        <v>1945</v>
      </c>
      <c r="C26">
        <f>'Battery Bonus O''ahu'!C27+'Battery Bonus Maui'!C27</f>
        <v>12.2</v>
      </c>
      <c r="D26">
        <f>'Battery Bonus O''ahu'!D27+'Battery Bonus Maui'!D27</f>
        <v>6.71</v>
      </c>
      <c r="E26">
        <f t="shared" si="0"/>
        <v>18.91</v>
      </c>
      <c r="F26" s="1">
        <f>'Battery Bonus O''ahu'!F27+'Battery Bonus Maui'!F27</f>
        <v>10367501</v>
      </c>
      <c r="G26">
        <f>'Battery Bonus O''ahu'!G27+'Battery Bonus Maui'!G27</f>
        <v>2487</v>
      </c>
      <c r="H26">
        <f>'Battery Bonus O''ahu'!H27+'Battery Bonus Maui'!H27</f>
        <v>18.22</v>
      </c>
      <c r="I26">
        <f>'Battery Bonus O''ahu'!K27+'Battery Bonus Maui'!K27</f>
        <v>34</v>
      </c>
      <c r="J26">
        <f t="shared" si="1"/>
        <v>4432</v>
      </c>
      <c r="K26">
        <f t="shared" si="2"/>
        <v>37.129999999999995</v>
      </c>
    </row>
    <row r="27" spans="1:11" x14ac:dyDescent="0.25">
      <c r="A27" s="2">
        <v>45108</v>
      </c>
      <c r="B27">
        <f>'Battery Bonus O''ahu'!B28+'Battery Bonus Maui'!B28</f>
        <v>2005</v>
      </c>
      <c r="C27">
        <f>'Battery Bonus O''ahu'!C28+'Battery Bonus Maui'!C28</f>
        <v>12.64</v>
      </c>
      <c r="D27">
        <f>'Battery Bonus O''ahu'!D28+'Battery Bonus Maui'!D28</f>
        <v>6.95</v>
      </c>
      <c r="E27">
        <f t="shared" si="0"/>
        <v>19.59</v>
      </c>
      <c r="F27" s="1">
        <f>'Battery Bonus O''ahu'!F28+'Battery Bonus Maui'!F28</f>
        <v>10746023</v>
      </c>
      <c r="G27">
        <f>'Battery Bonus O''ahu'!G28+'Battery Bonus Maui'!G28</f>
        <v>2643</v>
      </c>
      <c r="H27">
        <f>'Battery Bonus O''ahu'!H28+'Battery Bonus Maui'!H28</f>
        <v>19.279999999999998</v>
      </c>
      <c r="I27">
        <f>'Battery Bonus O''ahu'!K28+'Battery Bonus Maui'!K28</f>
        <v>46</v>
      </c>
      <c r="J27">
        <f t="shared" si="1"/>
        <v>4648</v>
      </c>
      <c r="K27">
        <f t="shared" si="2"/>
        <v>38.869999999999997</v>
      </c>
    </row>
    <row r="28" spans="1:11" x14ac:dyDescent="0.25">
      <c r="A28" s="2">
        <v>45139</v>
      </c>
      <c r="B28">
        <f>'Battery Bonus O''ahu'!B29+'Battery Bonus Maui'!B29</f>
        <v>2259</v>
      </c>
      <c r="C28">
        <f>'Battery Bonus O''ahu'!C29+'Battery Bonus Maui'!C29</f>
        <v>14.42</v>
      </c>
      <c r="D28">
        <f>'Battery Bonus O''ahu'!D29+'Battery Bonus Maui'!D29</f>
        <v>7.68</v>
      </c>
      <c r="E28">
        <f t="shared" si="0"/>
        <v>22.1</v>
      </c>
      <c r="F28" s="1">
        <f>'Battery Bonus O''ahu'!F29+'Battery Bonus Maui'!F29</f>
        <v>12262993</v>
      </c>
      <c r="G28">
        <f>'Battery Bonus O''ahu'!G29+'Battery Bonus Maui'!G29</f>
        <v>2663</v>
      </c>
      <c r="H28">
        <f>'Battery Bonus O''ahu'!H29+'Battery Bonus Maui'!H29</f>
        <v>19.399999999999999</v>
      </c>
      <c r="I28">
        <f>'Battery Bonus O''ahu'!K29+'Battery Bonus Maui'!K29</f>
        <v>77</v>
      </c>
      <c r="J28">
        <f t="shared" si="1"/>
        <v>4922</v>
      </c>
      <c r="K28">
        <f t="shared" si="2"/>
        <v>41.5</v>
      </c>
    </row>
    <row r="29" spans="1:11" x14ac:dyDescent="0.25">
      <c r="A29" s="2">
        <v>45170</v>
      </c>
      <c r="B29">
        <f>'Battery Bonus O''ahu'!B30+'Battery Bonus Maui'!B30</f>
        <v>2492</v>
      </c>
      <c r="C29">
        <f>'Battery Bonus O''ahu'!C30+'Battery Bonus Maui'!C30</f>
        <v>16.03</v>
      </c>
      <c r="D29">
        <f>'Battery Bonus O''ahu'!D30+'Battery Bonus Maui'!D30</f>
        <v>8.33</v>
      </c>
      <c r="E29">
        <f t="shared" si="0"/>
        <v>24.36</v>
      </c>
      <c r="F29" s="1">
        <f>'Battery Bonus O''ahu'!F30+'Battery Bonus Maui'!F30</f>
        <v>13624565</v>
      </c>
      <c r="G29">
        <f>'Battery Bonus O''ahu'!G30+'Battery Bonus Maui'!G30</f>
        <v>2832</v>
      </c>
      <c r="H29">
        <f>'Battery Bonus O''ahu'!H30+'Battery Bonus Maui'!H30</f>
        <v>20.410000000000004</v>
      </c>
      <c r="I29">
        <f>'Battery Bonus O''ahu'!K30+'Battery Bonus Maui'!K30</f>
        <v>69</v>
      </c>
      <c r="J29">
        <f t="shared" si="1"/>
        <v>5324</v>
      </c>
      <c r="K29">
        <f t="shared" si="2"/>
        <v>44.77</v>
      </c>
    </row>
  </sheetData>
  <mergeCells count="1">
    <mergeCell ref="A1:K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8A691-4ED8-4283-B4BE-1C24EC53E61D}">
  <dimension ref="A1:K30"/>
  <sheetViews>
    <sheetView zoomScale="85" zoomScaleNormal="85" workbookViewId="0">
      <pane ySplit="3" topLeftCell="A10" activePane="bottomLeft" state="frozen"/>
      <selection activeCell="U30" sqref="U30"/>
      <selection pane="bottomLeft" activeCell="U30" sqref="U30"/>
    </sheetView>
  </sheetViews>
  <sheetFormatPr defaultColWidth="9.85546875" defaultRowHeight="15" x14ac:dyDescent="0.25"/>
  <cols>
    <col min="2" max="2" width="17.140625" bestFit="1" customWidth="1"/>
    <col min="3" max="3" width="16.42578125" customWidth="1"/>
    <col min="4" max="5" width="20.7109375" customWidth="1"/>
    <col min="6" max="6" width="18.7109375" customWidth="1"/>
    <col min="7" max="7" width="17.5703125" bestFit="1" customWidth="1"/>
    <col min="8" max="8" width="10.28515625" bestFit="1" customWidth="1"/>
    <col min="9" max="10" width="17.7109375" customWidth="1"/>
    <col min="11" max="11" width="19" bestFit="1" customWidth="1"/>
  </cols>
  <sheetData>
    <row r="1" spans="1:11" ht="26.45" customHeight="1" x14ac:dyDescent="0.25">
      <c r="A1" s="7" t="s">
        <v>22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29.1" customHeight="1" x14ac:dyDescent="0.25">
      <c r="A2" s="8" t="s">
        <v>10</v>
      </c>
      <c r="B2" s="8" t="s">
        <v>21</v>
      </c>
      <c r="C2" s="8"/>
      <c r="D2" s="8"/>
      <c r="E2" s="8"/>
      <c r="F2" s="3" t="s">
        <v>20</v>
      </c>
      <c r="G2" s="8" t="s">
        <v>19</v>
      </c>
      <c r="H2" s="8"/>
      <c r="I2" s="3" t="s">
        <v>1</v>
      </c>
      <c r="J2" s="3" t="s">
        <v>0</v>
      </c>
      <c r="K2" s="3" t="s">
        <v>18</v>
      </c>
    </row>
    <row r="3" spans="1:11" ht="30" x14ac:dyDescent="0.25">
      <c r="A3" s="8"/>
      <c r="B3" s="3" t="s">
        <v>12</v>
      </c>
      <c r="C3" s="3" t="s">
        <v>17</v>
      </c>
      <c r="D3" s="3" t="s">
        <v>16</v>
      </c>
      <c r="E3" s="3" t="s">
        <v>15</v>
      </c>
      <c r="F3" s="3" t="s">
        <v>14</v>
      </c>
      <c r="G3" s="3" t="s">
        <v>12</v>
      </c>
      <c r="H3" s="3" t="s">
        <v>13</v>
      </c>
      <c r="I3" s="3" t="s">
        <v>12</v>
      </c>
      <c r="J3" s="3" t="s">
        <v>13</v>
      </c>
      <c r="K3" s="3" t="s">
        <v>12</v>
      </c>
    </row>
    <row r="4" spans="1:11" x14ac:dyDescent="0.25">
      <c r="A4" s="2">
        <v>44378</v>
      </c>
      <c r="B4">
        <v>0</v>
      </c>
      <c r="C4">
        <v>0</v>
      </c>
      <c r="D4">
        <v>0</v>
      </c>
      <c r="E4">
        <f t="shared" ref="E4:E21" si="0">SUM(C3:D4)</f>
        <v>0</v>
      </c>
      <c r="F4" s="5">
        <v>0</v>
      </c>
      <c r="G4">
        <v>0</v>
      </c>
      <c r="H4">
        <v>0</v>
      </c>
      <c r="I4">
        <f t="shared" ref="I4:I30" si="1">SUM(G4,B4)</f>
        <v>0</v>
      </c>
      <c r="J4">
        <f t="shared" ref="J4:J30" si="2">SUM(E4,H4)</f>
        <v>0</v>
      </c>
      <c r="K4">
        <v>0</v>
      </c>
    </row>
    <row r="5" spans="1:11" x14ac:dyDescent="0.25">
      <c r="A5" s="2">
        <v>44409</v>
      </c>
      <c r="B5">
        <v>0</v>
      </c>
      <c r="C5">
        <v>0</v>
      </c>
      <c r="D5">
        <v>0</v>
      </c>
      <c r="E5">
        <f t="shared" si="0"/>
        <v>0</v>
      </c>
      <c r="F5" s="5">
        <v>0</v>
      </c>
      <c r="G5">
        <v>0</v>
      </c>
      <c r="H5">
        <v>0</v>
      </c>
      <c r="I5">
        <f t="shared" si="1"/>
        <v>0</v>
      </c>
      <c r="J5">
        <f t="shared" si="2"/>
        <v>0</v>
      </c>
      <c r="K5">
        <v>0</v>
      </c>
    </row>
    <row r="6" spans="1:11" x14ac:dyDescent="0.25">
      <c r="A6" s="2">
        <v>44440</v>
      </c>
      <c r="B6">
        <v>0</v>
      </c>
      <c r="C6">
        <v>0</v>
      </c>
      <c r="D6">
        <v>0</v>
      </c>
      <c r="E6">
        <f t="shared" si="0"/>
        <v>0</v>
      </c>
      <c r="F6" s="5">
        <v>0</v>
      </c>
      <c r="G6">
        <v>0</v>
      </c>
      <c r="H6">
        <v>0</v>
      </c>
      <c r="I6">
        <f t="shared" si="1"/>
        <v>0</v>
      </c>
      <c r="J6">
        <f t="shared" si="2"/>
        <v>0</v>
      </c>
      <c r="K6">
        <v>0</v>
      </c>
    </row>
    <row r="7" spans="1:11" x14ac:dyDescent="0.25">
      <c r="A7" s="2">
        <v>44470</v>
      </c>
      <c r="B7">
        <v>0</v>
      </c>
      <c r="C7">
        <v>0</v>
      </c>
      <c r="D7">
        <v>0</v>
      </c>
      <c r="E7">
        <f t="shared" si="0"/>
        <v>0</v>
      </c>
      <c r="F7" s="5">
        <v>0</v>
      </c>
      <c r="G7">
        <v>0</v>
      </c>
      <c r="H7">
        <v>0</v>
      </c>
      <c r="I7">
        <f t="shared" si="1"/>
        <v>0</v>
      </c>
      <c r="J7">
        <f t="shared" si="2"/>
        <v>0</v>
      </c>
      <c r="K7">
        <v>0</v>
      </c>
    </row>
    <row r="8" spans="1:11" x14ac:dyDescent="0.25">
      <c r="A8" s="2">
        <v>44501</v>
      </c>
      <c r="B8">
        <v>0</v>
      </c>
      <c r="C8">
        <v>0</v>
      </c>
      <c r="D8">
        <v>0</v>
      </c>
      <c r="E8">
        <f t="shared" si="0"/>
        <v>0</v>
      </c>
      <c r="F8" s="5">
        <v>0</v>
      </c>
      <c r="G8">
        <v>0</v>
      </c>
      <c r="H8">
        <v>0</v>
      </c>
      <c r="I8">
        <f t="shared" si="1"/>
        <v>0</v>
      </c>
      <c r="J8">
        <f t="shared" si="2"/>
        <v>0</v>
      </c>
      <c r="K8">
        <v>0</v>
      </c>
    </row>
    <row r="9" spans="1:11" x14ac:dyDescent="0.25">
      <c r="A9" s="2">
        <v>44531</v>
      </c>
      <c r="B9">
        <v>0</v>
      </c>
      <c r="C9">
        <v>0</v>
      </c>
      <c r="D9">
        <v>0</v>
      </c>
      <c r="E9">
        <f t="shared" si="0"/>
        <v>0</v>
      </c>
      <c r="F9" s="5">
        <v>0</v>
      </c>
      <c r="G9">
        <v>0</v>
      </c>
      <c r="H9">
        <v>0</v>
      </c>
      <c r="I9">
        <f t="shared" si="1"/>
        <v>0</v>
      </c>
      <c r="J9">
        <f t="shared" si="2"/>
        <v>0</v>
      </c>
      <c r="K9">
        <v>0</v>
      </c>
    </row>
    <row r="10" spans="1:11" x14ac:dyDescent="0.25">
      <c r="A10" s="2">
        <v>44562</v>
      </c>
      <c r="B10">
        <v>0</v>
      </c>
      <c r="C10">
        <v>0</v>
      </c>
      <c r="D10">
        <v>0</v>
      </c>
      <c r="E10">
        <f t="shared" si="0"/>
        <v>0</v>
      </c>
      <c r="F10" s="5">
        <v>0</v>
      </c>
      <c r="G10">
        <v>0</v>
      </c>
      <c r="H10">
        <v>0</v>
      </c>
      <c r="I10">
        <f t="shared" si="1"/>
        <v>0</v>
      </c>
      <c r="J10">
        <f t="shared" si="2"/>
        <v>0</v>
      </c>
      <c r="K10">
        <v>0</v>
      </c>
    </row>
    <row r="11" spans="1:11" x14ac:dyDescent="0.25">
      <c r="A11" s="2">
        <v>44593</v>
      </c>
      <c r="B11">
        <v>0</v>
      </c>
      <c r="C11">
        <v>0</v>
      </c>
      <c r="D11">
        <v>0</v>
      </c>
      <c r="E11">
        <f t="shared" si="0"/>
        <v>0</v>
      </c>
      <c r="F11" s="5">
        <v>0</v>
      </c>
      <c r="G11">
        <v>0</v>
      </c>
      <c r="H11">
        <v>0</v>
      </c>
      <c r="I11">
        <f t="shared" si="1"/>
        <v>0</v>
      </c>
      <c r="J11">
        <f t="shared" si="2"/>
        <v>0</v>
      </c>
      <c r="K11">
        <v>0</v>
      </c>
    </row>
    <row r="12" spans="1:11" x14ac:dyDescent="0.25">
      <c r="A12" s="2">
        <v>44621</v>
      </c>
      <c r="B12">
        <v>0</v>
      </c>
      <c r="C12">
        <v>0</v>
      </c>
      <c r="D12">
        <v>0</v>
      </c>
      <c r="E12">
        <f t="shared" si="0"/>
        <v>0</v>
      </c>
      <c r="F12" s="5">
        <v>0</v>
      </c>
      <c r="G12">
        <v>0</v>
      </c>
      <c r="H12">
        <v>0</v>
      </c>
      <c r="I12">
        <f t="shared" si="1"/>
        <v>0</v>
      </c>
      <c r="J12">
        <f t="shared" si="2"/>
        <v>0</v>
      </c>
      <c r="K12">
        <v>0</v>
      </c>
    </row>
    <row r="13" spans="1:11" x14ac:dyDescent="0.25">
      <c r="A13" s="2">
        <v>44652</v>
      </c>
      <c r="B13">
        <v>0</v>
      </c>
      <c r="C13">
        <v>0</v>
      </c>
      <c r="D13">
        <v>0</v>
      </c>
      <c r="E13">
        <f t="shared" si="0"/>
        <v>0</v>
      </c>
      <c r="F13" s="5">
        <v>0</v>
      </c>
      <c r="G13">
        <v>0</v>
      </c>
      <c r="H13">
        <v>0</v>
      </c>
      <c r="I13">
        <f t="shared" si="1"/>
        <v>0</v>
      </c>
      <c r="J13">
        <f t="shared" si="2"/>
        <v>0</v>
      </c>
      <c r="K13">
        <v>0</v>
      </c>
    </row>
    <row r="14" spans="1:11" x14ac:dyDescent="0.25">
      <c r="A14" s="2">
        <v>44682</v>
      </c>
      <c r="B14">
        <v>0</v>
      </c>
      <c r="C14">
        <v>0</v>
      </c>
      <c r="D14">
        <v>0</v>
      </c>
      <c r="E14">
        <f t="shared" si="0"/>
        <v>0</v>
      </c>
      <c r="F14" s="5">
        <v>0</v>
      </c>
      <c r="G14">
        <v>0</v>
      </c>
      <c r="H14">
        <v>0</v>
      </c>
      <c r="I14">
        <f t="shared" si="1"/>
        <v>0</v>
      </c>
      <c r="J14">
        <f t="shared" si="2"/>
        <v>0</v>
      </c>
      <c r="K14">
        <v>0</v>
      </c>
    </row>
    <row r="15" spans="1:11" x14ac:dyDescent="0.25">
      <c r="A15" s="2">
        <v>44713</v>
      </c>
      <c r="B15">
        <v>0</v>
      </c>
      <c r="C15">
        <v>0</v>
      </c>
      <c r="D15">
        <v>0</v>
      </c>
      <c r="E15">
        <f t="shared" si="0"/>
        <v>0</v>
      </c>
      <c r="F15" s="5">
        <v>0</v>
      </c>
      <c r="G15">
        <v>0</v>
      </c>
      <c r="H15">
        <v>0</v>
      </c>
      <c r="I15">
        <f t="shared" si="1"/>
        <v>0</v>
      </c>
      <c r="J15">
        <f t="shared" si="2"/>
        <v>0</v>
      </c>
      <c r="K15">
        <v>2</v>
      </c>
    </row>
    <row r="16" spans="1:11" x14ac:dyDescent="0.25">
      <c r="A16" s="2">
        <v>44743</v>
      </c>
      <c r="B16">
        <v>0</v>
      </c>
      <c r="C16">
        <v>0</v>
      </c>
      <c r="D16">
        <v>0</v>
      </c>
      <c r="E16">
        <f t="shared" si="0"/>
        <v>0</v>
      </c>
      <c r="F16" s="5">
        <v>0</v>
      </c>
      <c r="G16">
        <v>0</v>
      </c>
      <c r="H16">
        <v>0</v>
      </c>
      <c r="I16">
        <f t="shared" si="1"/>
        <v>0</v>
      </c>
      <c r="J16">
        <f t="shared" si="2"/>
        <v>0</v>
      </c>
      <c r="K16">
        <v>1</v>
      </c>
    </row>
    <row r="17" spans="1:11" x14ac:dyDescent="0.25">
      <c r="A17" s="2">
        <v>44774</v>
      </c>
      <c r="B17">
        <v>0</v>
      </c>
      <c r="C17">
        <v>0</v>
      </c>
      <c r="D17">
        <v>0</v>
      </c>
      <c r="E17">
        <f t="shared" si="0"/>
        <v>0</v>
      </c>
      <c r="F17" s="5">
        <v>0</v>
      </c>
      <c r="G17">
        <v>10</v>
      </c>
      <c r="H17">
        <v>0.11</v>
      </c>
      <c r="I17">
        <f t="shared" si="1"/>
        <v>10</v>
      </c>
      <c r="J17">
        <f t="shared" si="2"/>
        <v>0.11</v>
      </c>
      <c r="K17">
        <v>4</v>
      </c>
    </row>
    <row r="18" spans="1:11" x14ac:dyDescent="0.25">
      <c r="A18" s="2">
        <v>44805</v>
      </c>
      <c r="B18">
        <v>0</v>
      </c>
      <c r="C18">
        <v>0</v>
      </c>
      <c r="D18">
        <v>0</v>
      </c>
      <c r="E18">
        <f t="shared" si="0"/>
        <v>0</v>
      </c>
      <c r="F18" s="5">
        <v>0</v>
      </c>
      <c r="G18">
        <v>25</v>
      </c>
      <c r="H18">
        <v>0.41</v>
      </c>
      <c r="I18">
        <f t="shared" si="1"/>
        <v>25</v>
      </c>
      <c r="J18">
        <f t="shared" si="2"/>
        <v>0.41</v>
      </c>
      <c r="K18">
        <v>14</v>
      </c>
    </row>
    <row r="19" spans="1:11" x14ac:dyDescent="0.25">
      <c r="A19" s="2">
        <v>44835</v>
      </c>
      <c r="B19">
        <v>0</v>
      </c>
      <c r="C19">
        <v>0</v>
      </c>
      <c r="D19">
        <v>0</v>
      </c>
      <c r="E19">
        <f t="shared" si="0"/>
        <v>0</v>
      </c>
      <c r="F19" s="5">
        <v>0</v>
      </c>
      <c r="G19">
        <v>75</v>
      </c>
      <c r="H19">
        <v>0.7</v>
      </c>
      <c r="I19">
        <f t="shared" si="1"/>
        <v>75</v>
      </c>
      <c r="J19">
        <f t="shared" si="2"/>
        <v>0.7</v>
      </c>
      <c r="K19">
        <v>7</v>
      </c>
    </row>
    <row r="20" spans="1:11" x14ac:dyDescent="0.25">
      <c r="A20" s="2">
        <v>44866</v>
      </c>
      <c r="B20">
        <v>0</v>
      </c>
      <c r="C20">
        <v>0</v>
      </c>
      <c r="D20">
        <v>0</v>
      </c>
      <c r="E20">
        <f t="shared" si="0"/>
        <v>0</v>
      </c>
      <c r="F20" s="5">
        <v>0</v>
      </c>
      <c r="G20">
        <v>118</v>
      </c>
      <c r="H20">
        <v>1.01</v>
      </c>
      <c r="I20">
        <f t="shared" si="1"/>
        <v>118</v>
      </c>
      <c r="J20">
        <f t="shared" si="2"/>
        <v>1.01</v>
      </c>
      <c r="K20">
        <v>7</v>
      </c>
    </row>
    <row r="21" spans="1:11" x14ac:dyDescent="0.25">
      <c r="A21" s="2">
        <v>44896</v>
      </c>
      <c r="B21">
        <v>0</v>
      </c>
      <c r="C21">
        <v>0</v>
      </c>
      <c r="D21">
        <v>0</v>
      </c>
      <c r="E21">
        <f t="shared" si="0"/>
        <v>0</v>
      </c>
      <c r="F21" s="5">
        <v>0</v>
      </c>
      <c r="G21">
        <f>148+5</f>
        <v>153</v>
      </c>
      <c r="H21">
        <f>1.25</f>
        <v>1.25</v>
      </c>
      <c r="I21">
        <f t="shared" si="1"/>
        <v>153</v>
      </c>
      <c r="J21">
        <f t="shared" si="2"/>
        <v>1.25</v>
      </c>
      <c r="K21">
        <v>4</v>
      </c>
    </row>
    <row r="22" spans="1:11" x14ac:dyDescent="0.25">
      <c r="A22" s="2">
        <v>44927</v>
      </c>
      <c r="B22">
        <v>3</v>
      </c>
      <c r="C22">
        <v>1.4999999999999999E-2</v>
      </c>
      <c r="D22">
        <v>5.4000000000000003E-3</v>
      </c>
      <c r="E22">
        <f>SUM(C22:D22)</f>
        <v>2.0400000000000001E-2</v>
      </c>
      <c r="F22" s="5">
        <v>12750</v>
      </c>
      <c r="G22">
        <f>181+8</f>
        <v>189</v>
      </c>
      <c r="H22">
        <f>1.4+0.08</f>
        <v>1.48</v>
      </c>
      <c r="I22">
        <f t="shared" si="1"/>
        <v>192</v>
      </c>
      <c r="J22">
        <f t="shared" si="2"/>
        <v>1.5004</v>
      </c>
      <c r="K22">
        <v>38</v>
      </c>
    </row>
    <row r="23" spans="1:11" x14ac:dyDescent="0.25">
      <c r="A23" s="2">
        <v>44958</v>
      </c>
      <c r="B23">
        <v>4</v>
      </c>
      <c r="C23">
        <v>0.02</v>
      </c>
      <c r="D23">
        <v>5.4000000000000003E-3</v>
      </c>
      <c r="E23">
        <f t="shared" ref="E23:E30" si="3">SUM(C23:D23)</f>
        <v>2.5399999999999999E-2</v>
      </c>
      <c r="F23" s="5">
        <v>17000</v>
      </c>
      <c r="G23">
        <v>251</v>
      </c>
      <c r="H23">
        <v>1.97</v>
      </c>
      <c r="I23">
        <f t="shared" si="1"/>
        <v>255</v>
      </c>
      <c r="J23">
        <f t="shared" si="2"/>
        <v>1.9954000000000001</v>
      </c>
      <c r="K23">
        <v>20</v>
      </c>
    </row>
    <row r="24" spans="1:11" x14ac:dyDescent="0.25">
      <c r="A24" s="2">
        <v>44986</v>
      </c>
      <c r="B24">
        <v>8</v>
      </c>
      <c r="C24">
        <v>0.08</v>
      </c>
      <c r="D24">
        <v>0.01</v>
      </c>
      <c r="E24">
        <f t="shared" si="3"/>
        <v>0.09</v>
      </c>
      <c r="F24" s="5">
        <v>70678</v>
      </c>
      <c r="G24">
        <v>344</v>
      </c>
      <c r="H24">
        <v>2.69</v>
      </c>
      <c r="I24">
        <f t="shared" si="1"/>
        <v>352</v>
      </c>
      <c r="J24">
        <f t="shared" si="2"/>
        <v>2.78</v>
      </c>
      <c r="K24">
        <v>21</v>
      </c>
    </row>
    <row r="25" spans="1:11" x14ac:dyDescent="0.25">
      <c r="A25" s="2">
        <v>45017</v>
      </c>
      <c r="B25">
        <v>22</v>
      </c>
      <c r="C25">
        <v>0.17</v>
      </c>
      <c r="D25">
        <v>0.04</v>
      </c>
      <c r="E25">
        <f t="shared" si="3"/>
        <v>0.21000000000000002</v>
      </c>
      <c r="F25" s="5">
        <v>145818</v>
      </c>
      <c r="G25">
        <f>347+43</f>
        <v>390</v>
      </c>
      <c r="H25">
        <v>3.09</v>
      </c>
      <c r="I25">
        <f t="shared" si="1"/>
        <v>412</v>
      </c>
      <c r="J25">
        <f t="shared" si="2"/>
        <v>3.3</v>
      </c>
      <c r="K25">
        <v>24</v>
      </c>
    </row>
    <row r="26" spans="1:11" x14ac:dyDescent="0.25">
      <c r="A26" s="2">
        <v>45069</v>
      </c>
      <c r="B26">
        <v>42</v>
      </c>
      <c r="C26">
        <v>0.32</v>
      </c>
      <c r="D26">
        <v>0.09</v>
      </c>
      <c r="E26">
        <f t="shared" si="3"/>
        <v>0.41000000000000003</v>
      </c>
      <c r="F26" s="5">
        <v>272213</v>
      </c>
      <c r="G26">
        <v>421</v>
      </c>
      <c r="H26">
        <v>3.31</v>
      </c>
      <c r="I26">
        <f t="shared" si="1"/>
        <v>463</v>
      </c>
      <c r="J26">
        <f t="shared" si="2"/>
        <v>3.72</v>
      </c>
      <c r="K26">
        <v>15</v>
      </c>
    </row>
    <row r="27" spans="1:11" x14ac:dyDescent="0.25">
      <c r="A27" s="2">
        <v>45078</v>
      </c>
      <c r="B27">
        <v>73</v>
      </c>
      <c r="C27">
        <v>0.53</v>
      </c>
      <c r="D27">
        <v>0.19</v>
      </c>
      <c r="E27">
        <f t="shared" si="3"/>
        <v>0.72</v>
      </c>
      <c r="F27" s="5">
        <v>451818</v>
      </c>
      <c r="G27">
        <f>366+66</f>
        <v>432</v>
      </c>
      <c r="H27">
        <f>0.48+2.93</f>
        <v>3.41</v>
      </c>
      <c r="I27">
        <f t="shared" si="1"/>
        <v>505</v>
      </c>
      <c r="J27">
        <f t="shared" si="2"/>
        <v>4.13</v>
      </c>
      <c r="K27">
        <v>7</v>
      </c>
    </row>
    <row r="28" spans="1:11" x14ac:dyDescent="0.25">
      <c r="A28" s="2">
        <v>45108</v>
      </c>
      <c r="B28">
        <v>81</v>
      </c>
      <c r="C28">
        <v>0.57999999999999996</v>
      </c>
      <c r="D28">
        <v>0.21</v>
      </c>
      <c r="E28">
        <f t="shared" si="3"/>
        <v>0.78999999999999992</v>
      </c>
      <c r="F28" s="5">
        <v>491598</v>
      </c>
      <c r="G28">
        <f>112+350</f>
        <v>462</v>
      </c>
      <c r="H28">
        <f>2.76+0.85</f>
        <v>3.61</v>
      </c>
      <c r="I28">
        <f t="shared" si="1"/>
        <v>543</v>
      </c>
      <c r="J28">
        <f t="shared" si="2"/>
        <v>4.3999999999999995</v>
      </c>
      <c r="K28">
        <v>9</v>
      </c>
    </row>
    <row r="29" spans="1:11" x14ac:dyDescent="0.25">
      <c r="A29" s="2">
        <v>45139</v>
      </c>
      <c r="B29">
        <v>128</v>
      </c>
      <c r="C29">
        <v>0.95</v>
      </c>
      <c r="D29">
        <v>0.28999999999999998</v>
      </c>
      <c r="E29">
        <f t="shared" si="3"/>
        <v>1.24</v>
      </c>
      <c r="F29" s="5">
        <v>811104</v>
      </c>
      <c r="G29">
        <v>482</v>
      </c>
      <c r="H29">
        <f>0.78+2.92</f>
        <v>3.7</v>
      </c>
      <c r="I29">
        <f t="shared" si="1"/>
        <v>610</v>
      </c>
      <c r="J29">
        <f t="shared" si="2"/>
        <v>4.9400000000000004</v>
      </c>
      <c r="K29">
        <v>24</v>
      </c>
    </row>
    <row r="30" spans="1:11" x14ac:dyDescent="0.25">
      <c r="A30" s="2">
        <v>45170</v>
      </c>
      <c r="B30">
        <v>153</v>
      </c>
      <c r="C30">
        <v>1.1200000000000001</v>
      </c>
      <c r="D30">
        <v>0.31</v>
      </c>
      <c r="E30">
        <f t="shared" si="3"/>
        <v>1.4300000000000002</v>
      </c>
      <c r="F30" s="5">
        <v>952799</v>
      </c>
      <c r="G30">
        <f>385+120</f>
        <v>505</v>
      </c>
      <c r="H30">
        <f>2.97+0.88</f>
        <v>3.85</v>
      </c>
      <c r="I30">
        <f t="shared" si="1"/>
        <v>658</v>
      </c>
      <c r="J30">
        <f t="shared" si="2"/>
        <v>5.28</v>
      </c>
      <c r="K30">
        <v>13</v>
      </c>
    </row>
  </sheetData>
  <mergeCells count="4">
    <mergeCell ref="A1:K1"/>
    <mergeCell ref="A2:A3"/>
    <mergeCell ref="B2:E2"/>
    <mergeCell ref="G2:H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FED7D-676D-4A9A-8A11-D7D9A648EF62}">
  <dimension ref="A1:K31"/>
  <sheetViews>
    <sheetView tabSelected="1" zoomScale="70" zoomScaleNormal="70" workbookViewId="0">
      <pane ySplit="3" topLeftCell="A19" activePane="bottomLeft" state="frozen"/>
      <selection activeCell="U30" sqref="U30"/>
      <selection pane="bottomLeft" activeCell="K48" sqref="K48"/>
    </sheetView>
  </sheetViews>
  <sheetFormatPr defaultColWidth="9.85546875" defaultRowHeight="15" x14ac:dyDescent="0.25"/>
  <cols>
    <col min="2" max="2" width="17.140625" bestFit="1" customWidth="1"/>
    <col min="3" max="5" width="16.42578125" customWidth="1"/>
    <col min="6" max="6" width="18.140625" customWidth="1"/>
    <col min="7" max="7" width="18.7109375" customWidth="1"/>
    <col min="8" max="8" width="17.5703125" bestFit="1" customWidth="1"/>
    <col min="9" max="10" width="17.5703125" customWidth="1"/>
    <col min="11" max="11" width="12.140625" customWidth="1"/>
    <col min="12" max="12" width="19" bestFit="1" customWidth="1"/>
  </cols>
  <sheetData>
    <row r="1" spans="1:11" ht="26.45" customHeight="1" x14ac:dyDescent="0.25">
      <c r="A1" s="6" t="s">
        <v>23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ht="29.1" customHeight="1" x14ac:dyDescent="0.25">
      <c r="A2" s="8" t="s">
        <v>10</v>
      </c>
      <c r="B2" s="8" t="s">
        <v>21</v>
      </c>
      <c r="C2" s="8"/>
      <c r="D2" s="8"/>
      <c r="E2" s="8"/>
      <c r="F2" s="3" t="s">
        <v>20</v>
      </c>
      <c r="G2" s="8" t="s">
        <v>19</v>
      </c>
      <c r="H2" s="8"/>
      <c r="I2" s="3" t="s">
        <v>1</v>
      </c>
      <c r="J2" s="3" t="s">
        <v>0</v>
      </c>
      <c r="K2" s="3" t="s">
        <v>18</v>
      </c>
    </row>
    <row r="3" spans="1:11" ht="30" x14ac:dyDescent="0.25">
      <c r="A3" s="8"/>
      <c r="B3" s="3" t="s">
        <v>12</v>
      </c>
      <c r="C3" s="3" t="s">
        <v>17</v>
      </c>
      <c r="D3" s="3" t="s">
        <v>16</v>
      </c>
      <c r="E3" s="3" t="s">
        <v>15</v>
      </c>
      <c r="F3" s="3" t="s">
        <v>14</v>
      </c>
      <c r="G3" s="3" t="s">
        <v>12</v>
      </c>
      <c r="H3" s="3" t="s">
        <v>13</v>
      </c>
      <c r="I3" s="3" t="s">
        <v>12</v>
      </c>
      <c r="J3" s="3" t="s">
        <v>13</v>
      </c>
      <c r="K3" s="3" t="s">
        <v>12</v>
      </c>
    </row>
    <row r="4" spans="1:11" x14ac:dyDescent="0.25">
      <c r="A4" s="2">
        <v>44378</v>
      </c>
      <c r="B4">
        <v>0</v>
      </c>
      <c r="C4">
        <v>0</v>
      </c>
      <c r="D4">
        <v>0</v>
      </c>
      <c r="E4">
        <f t="shared" ref="E4:E30" si="0">SUM(C4:D4)</f>
        <v>0</v>
      </c>
      <c r="F4" s="5">
        <v>0</v>
      </c>
      <c r="G4">
        <v>0</v>
      </c>
      <c r="H4">
        <v>0</v>
      </c>
      <c r="I4">
        <f t="shared" ref="I4:I30" si="1">SUM(G4,B4)</f>
        <v>0</v>
      </c>
      <c r="J4">
        <f t="shared" ref="J4:J30" si="2">SUM(H4,E4)</f>
        <v>0</v>
      </c>
      <c r="K4">
        <v>2</v>
      </c>
    </row>
    <row r="5" spans="1:11" x14ac:dyDescent="0.25">
      <c r="A5" s="2">
        <v>44409</v>
      </c>
      <c r="B5">
        <v>0</v>
      </c>
      <c r="C5">
        <v>0</v>
      </c>
      <c r="D5">
        <v>0</v>
      </c>
      <c r="E5">
        <f t="shared" si="0"/>
        <v>0</v>
      </c>
      <c r="F5" s="5">
        <v>0</v>
      </c>
      <c r="G5">
        <v>31</v>
      </c>
      <c r="H5">
        <v>0.16</v>
      </c>
      <c r="I5">
        <f t="shared" si="1"/>
        <v>31</v>
      </c>
      <c r="J5">
        <f t="shared" si="2"/>
        <v>0.16</v>
      </c>
      <c r="K5">
        <v>25</v>
      </c>
    </row>
    <row r="6" spans="1:11" x14ac:dyDescent="0.25">
      <c r="A6" s="2">
        <v>44440</v>
      </c>
      <c r="B6">
        <v>0</v>
      </c>
      <c r="C6">
        <v>0</v>
      </c>
      <c r="D6">
        <v>0</v>
      </c>
      <c r="E6">
        <f t="shared" si="0"/>
        <v>0</v>
      </c>
      <c r="F6" s="5">
        <v>0</v>
      </c>
      <c r="G6">
        <v>149</v>
      </c>
      <c r="H6">
        <v>0.77</v>
      </c>
      <c r="I6">
        <f t="shared" si="1"/>
        <v>149</v>
      </c>
      <c r="J6">
        <f t="shared" si="2"/>
        <v>0.77</v>
      </c>
      <c r="K6">
        <v>24</v>
      </c>
    </row>
    <row r="7" spans="1:11" x14ac:dyDescent="0.25">
      <c r="A7" s="2">
        <v>44470</v>
      </c>
      <c r="B7">
        <v>0</v>
      </c>
      <c r="C7">
        <v>0</v>
      </c>
      <c r="D7">
        <v>0</v>
      </c>
      <c r="E7">
        <f t="shared" si="0"/>
        <v>0</v>
      </c>
      <c r="F7" s="5">
        <v>0</v>
      </c>
      <c r="G7">
        <v>280</v>
      </c>
      <c r="H7">
        <v>1.5</v>
      </c>
      <c r="I7">
        <f t="shared" si="1"/>
        <v>280</v>
      </c>
      <c r="J7">
        <f t="shared" si="2"/>
        <v>1.5</v>
      </c>
      <c r="K7">
        <v>35</v>
      </c>
    </row>
    <row r="8" spans="1:11" x14ac:dyDescent="0.25">
      <c r="A8" s="2">
        <v>44501</v>
      </c>
      <c r="B8">
        <v>0</v>
      </c>
      <c r="C8">
        <v>0</v>
      </c>
      <c r="D8">
        <v>0</v>
      </c>
      <c r="E8">
        <f t="shared" si="0"/>
        <v>0</v>
      </c>
      <c r="F8" s="5">
        <v>0</v>
      </c>
      <c r="G8">
        <f>409+53</f>
        <v>462</v>
      </c>
      <c r="H8">
        <f>2.35+0.36</f>
        <v>2.71</v>
      </c>
      <c r="I8">
        <f t="shared" si="1"/>
        <v>462</v>
      </c>
      <c r="J8">
        <f t="shared" si="2"/>
        <v>2.71</v>
      </c>
      <c r="K8">
        <v>27</v>
      </c>
    </row>
    <row r="9" spans="1:11" x14ac:dyDescent="0.25">
      <c r="A9" s="2">
        <v>44531</v>
      </c>
      <c r="B9">
        <v>28</v>
      </c>
      <c r="C9">
        <v>0.14000000000000001</v>
      </c>
      <c r="D9">
        <v>6.9000000000000006E-2</v>
      </c>
      <c r="E9">
        <f t="shared" si="0"/>
        <v>0.20900000000000002</v>
      </c>
      <c r="F9" s="5">
        <v>118150</v>
      </c>
      <c r="G9">
        <f>506+60</f>
        <v>566</v>
      </c>
      <c r="H9">
        <f>2.96+0.37</f>
        <v>3.33</v>
      </c>
      <c r="I9">
        <f t="shared" si="1"/>
        <v>594</v>
      </c>
      <c r="J9">
        <f t="shared" si="2"/>
        <v>3.5390000000000001</v>
      </c>
      <c r="K9">
        <v>41</v>
      </c>
    </row>
    <row r="10" spans="1:11" x14ac:dyDescent="0.25">
      <c r="A10" s="2">
        <v>44562</v>
      </c>
      <c r="B10">
        <v>62</v>
      </c>
      <c r="C10">
        <v>0.308</v>
      </c>
      <c r="D10">
        <v>0.17299999999999999</v>
      </c>
      <c r="E10">
        <f t="shared" si="0"/>
        <v>0.48099999999999998</v>
      </c>
      <c r="F10" s="5">
        <v>261800</v>
      </c>
      <c r="G10">
        <f>554+110</f>
        <v>664</v>
      </c>
      <c r="H10">
        <f>3.36+0.589</f>
        <v>3.9489999999999998</v>
      </c>
      <c r="I10">
        <f t="shared" si="1"/>
        <v>726</v>
      </c>
      <c r="J10">
        <f t="shared" si="2"/>
        <v>4.43</v>
      </c>
      <c r="K10">
        <v>39</v>
      </c>
    </row>
    <row r="11" spans="1:11" x14ac:dyDescent="0.25">
      <c r="A11" s="2">
        <v>44593</v>
      </c>
      <c r="B11">
        <v>114</v>
      </c>
      <c r="C11">
        <v>0.59099999999999997</v>
      </c>
      <c r="D11">
        <v>0.60199999999999998</v>
      </c>
      <c r="E11">
        <f t="shared" si="0"/>
        <v>1.1930000000000001</v>
      </c>
      <c r="F11" s="5">
        <v>502554</v>
      </c>
      <c r="G11">
        <f>532+121</f>
        <v>653</v>
      </c>
      <c r="H11">
        <f>0.598+3.32</f>
        <v>3.9179999999999997</v>
      </c>
      <c r="I11">
        <f t="shared" si="1"/>
        <v>767</v>
      </c>
      <c r="J11">
        <f t="shared" si="2"/>
        <v>5.1109999999999998</v>
      </c>
      <c r="K11">
        <v>63</v>
      </c>
    </row>
    <row r="12" spans="1:11" x14ac:dyDescent="0.25">
      <c r="A12" s="2">
        <v>44621</v>
      </c>
      <c r="B12">
        <v>178</v>
      </c>
      <c r="C12">
        <v>0.89</v>
      </c>
      <c r="D12">
        <v>0.8</v>
      </c>
      <c r="E12">
        <f t="shared" si="0"/>
        <v>1.69</v>
      </c>
      <c r="F12" s="5">
        <v>756815</v>
      </c>
      <c r="G12">
        <f>580+129</f>
        <v>709</v>
      </c>
      <c r="H12">
        <f>0.71+3.52</f>
        <v>4.2300000000000004</v>
      </c>
      <c r="I12">
        <f t="shared" si="1"/>
        <v>887</v>
      </c>
      <c r="J12">
        <f t="shared" si="2"/>
        <v>5.92</v>
      </c>
      <c r="K12">
        <v>57</v>
      </c>
    </row>
    <row r="13" spans="1:11" x14ac:dyDescent="0.25">
      <c r="A13" s="2">
        <v>44652</v>
      </c>
      <c r="B13">
        <v>235</v>
      </c>
      <c r="C13">
        <v>1.19</v>
      </c>
      <c r="D13">
        <v>0.99</v>
      </c>
      <c r="E13">
        <f t="shared" si="0"/>
        <v>2.1799999999999997</v>
      </c>
      <c r="F13" s="5">
        <v>1014263</v>
      </c>
      <c r="G13">
        <f>530+228</f>
        <v>758</v>
      </c>
      <c r="H13">
        <f>3.16+1.38</f>
        <v>4.54</v>
      </c>
      <c r="I13">
        <f t="shared" si="1"/>
        <v>993</v>
      </c>
      <c r="J13">
        <f t="shared" si="2"/>
        <v>6.72</v>
      </c>
      <c r="K13">
        <v>70</v>
      </c>
    </row>
    <row r="14" spans="1:11" x14ac:dyDescent="0.25">
      <c r="A14" s="2">
        <v>44682</v>
      </c>
      <c r="B14">
        <v>303</v>
      </c>
      <c r="C14">
        <v>1.64</v>
      </c>
      <c r="D14">
        <v>1.24</v>
      </c>
      <c r="E14">
        <f t="shared" si="0"/>
        <v>2.88</v>
      </c>
      <c r="F14" s="5">
        <v>1395029</v>
      </c>
      <c r="G14">
        <f>622+241</f>
        <v>863</v>
      </c>
      <c r="H14">
        <f>3.69+1.45</f>
        <v>5.14</v>
      </c>
      <c r="I14">
        <f t="shared" si="1"/>
        <v>1166</v>
      </c>
      <c r="J14">
        <f t="shared" si="2"/>
        <v>8.02</v>
      </c>
      <c r="K14">
        <v>48</v>
      </c>
    </row>
    <row r="15" spans="1:11" x14ac:dyDescent="0.25">
      <c r="A15" s="2">
        <v>44713</v>
      </c>
      <c r="B15">
        <v>390</v>
      </c>
      <c r="C15">
        <v>2.19</v>
      </c>
      <c r="D15">
        <v>1.52</v>
      </c>
      <c r="E15">
        <f t="shared" si="0"/>
        <v>3.71</v>
      </c>
      <c r="F15" s="5">
        <v>1864535</v>
      </c>
      <c r="G15">
        <f>685+200</f>
        <v>885</v>
      </c>
      <c r="H15">
        <f>4.17+1.14</f>
        <v>5.31</v>
      </c>
      <c r="I15">
        <f t="shared" si="1"/>
        <v>1275</v>
      </c>
      <c r="J15">
        <f t="shared" si="2"/>
        <v>9.02</v>
      </c>
      <c r="K15">
        <v>31</v>
      </c>
    </row>
    <row r="16" spans="1:11" x14ac:dyDescent="0.25">
      <c r="A16" s="2">
        <v>44743</v>
      </c>
      <c r="B16">
        <v>464</v>
      </c>
      <c r="C16">
        <v>2.69</v>
      </c>
      <c r="D16">
        <v>1.76</v>
      </c>
      <c r="E16">
        <f t="shared" si="0"/>
        <v>4.45</v>
      </c>
      <c r="F16" s="5">
        <v>2277550</v>
      </c>
      <c r="G16">
        <f>732+224</f>
        <v>956</v>
      </c>
      <c r="H16">
        <f>4.41+1.31</f>
        <v>5.7200000000000006</v>
      </c>
      <c r="I16">
        <f t="shared" si="1"/>
        <v>1420</v>
      </c>
      <c r="J16">
        <f t="shared" si="2"/>
        <v>10.170000000000002</v>
      </c>
      <c r="K16">
        <v>57</v>
      </c>
    </row>
    <row r="17" spans="1:11" x14ac:dyDescent="0.25">
      <c r="A17" s="2">
        <v>44774</v>
      </c>
      <c r="B17">
        <v>586</v>
      </c>
      <c r="C17">
        <v>3.48</v>
      </c>
      <c r="D17">
        <v>1.93</v>
      </c>
      <c r="E17">
        <f t="shared" si="0"/>
        <v>5.41</v>
      </c>
      <c r="F17" s="5">
        <v>2960814</v>
      </c>
      <c r="G17">
        <f>224+864</f>
        <v>1088</v>
      </c>
      <c r="H17">
        <f>5.31+1.22</f>
        <v>6.5299999999999994</v>
      </c>
      <c r="I17">
        <f t="shared" si="1"/>
        <v>1674</v>
      </c>
      <c r="J17">
        <f t="shared" si="2"/>
        <v>11.94</v>
      </c>
      <c r="K17">
        <v>58</v>
      </c>
    </row>
    <row r="18" spans="1:11" x14ac:dyDescent="0.25">
      <c r="A18" s="2">
        <v>44805</v>
      </c>
      <c r="B18">
        <v>651</v>
      </c>
      <c r="C18">
        <v>3.89</v>
      </c>
      <c r="D18">
        <v>2.15</v>
      </c>
      <c r="E18">
        <f t="shared" si="0"/>
        <v>6.04</v>
      </c>
      <c r="F18" s="5">
        <v>3304214</v>
      </c>
      <c r="G18">
        <f>884+278</f>
        <v>1162</v>
      </c>
      <c r="H18">
        <f>5.45+1.59</f>
        <v>7.04</v>
      </c>
      <c r="I18">
        <f t="shared" si="1"/>
        <v>1813</v>
      </c>
      <c r="J18">
        <f t="shared" si="2"/>
        <v>13.08</v>
      </c>
      <c r="K18">
        <v>46</v>
      </c>
    </row>
    <row r="19" spans="1:11" x14ac:dyDescent="0.25">
      <c r="A19" s="2">
        <v>44835</v>
      </c>
      <c r="B19">
        <v>686</v>
      </c>
      <c r="C19">
        <v>4.08</v>
      </c>
      <c r="D19">
        <v>2.27</v>
      </c>
      <c r="E19">
        <f t="shared" si="0"/>
        <v>6.35</v>
      </c>
      <c r="F19" s="5">
        <v>3468009</v>
      </c>
      <c r="G19">
        <f>898+388</f>
        <v>1286</v>
      </c>
      <c r="H19">
        <f>2.32+4.08</f>
        <v>6.4</v>
      </c>
      <c r="I19">
        <f t="shared" si="1"/>
        <v>1972</v>
      </c>
      <c r="J19">
        <f t="shared" si="2"/>
        <v>12.75</v>
      </c>
      <c r="K19">
        <v>56</v>
      </c>
    </row>
    <row r="20" spans="1:11" x14ac:dyDescent="0.25">
      <c r="A20" s="2">
        <v>44866</v>
      </c>
      <c r="B20">
        <v>822</v>
      </c>
      <c r="C20">
        <v>4.92</v>
      </c>
      <c r="D20">
        <v>2.65</v>
      </c>
      <c r="E20">
        <f t="shared" si="0"/>
        <v>7.57</v>
      </c>
      <c r="F20" s="5">
        <v>4185426</v>
      </c>
      <c r="G20">
        <f>1037+371</f>
        <v>1408</v>
      </c>
      <c r="H20">
        <f>6.56+2.24</f>
        <v>8.8000000000000007</v>
      </c>
      <c r="I20">
        <f t="shared" si="1"/>
        <v>2230</v>
      </c>
      <c r="J20">
        <f t="shared" si="2"/>
        <v>16.37</v>
      </c>
      <c r="K20">
        <v>44</v>
      </c>
    </row>
    <row r="21" spans="1:11" x14ac:dyDescent="0.25">
      <c r="A21" s="2">
        <v>44896</v>
      </c>
      <c r="B21">
        <v>942</v>
      </c>
      <c r="C21">
        <v>5.79</v>
      </c>
      <c r="D21">
        <v>3.3</v>
      </c>
      <c r="E21">
        <f t="shared" si="0"/>
        <v>9.09</v>
      </c>
      <c r="F21" s="5">
        <v>4925374</v>
      </c>
      <c r="G21">
        <f>1039+425</f>
        <v>1464</v>
      </c>
      <c r="H21">
        <f>6.95+2.35</f>
        <v>9.3000000000000007</v>
      </c>
      <c r="I21">
        <f t="shared" si="1"/>
        <v>2406</v>
      </c>
      <c r="J21">
        <f t="shared" si="2"/>
        <v>18.39</v>
      </c>
      <c r="K21">
        <v>49</v>
      </c>
    </row>
    <row r="22" spans="1:11" x14ac:dyDescent="0.25">
      <c r="A22" s="2">
        <v>44927</v>
      </c>
      <c r="B22">
        <v>1037</v>
      </c>
      <c r="C22">
        <v>6.35</v>
      </c>
      <c r="D22">
        <v>3.66</v>
      </c>
      <c r="E22">
        <f t="shared" si="0"/>
        <v>10.01</v>
      </c>
      <c r="F22" s="5">
        <v>5400943</v>
      </c>
      <c r="G22">
        <f>1116+481</f>
        <v>1597</v>
      </c>
      <c r="H22">
        <f>7.73+2.71</f>
        <v>10.440000000000001</v>
      </c>
      <c r="I22">
        <f t="shared" si="1"/>
        <v>2634</v>
      </c>
      <c r="J22">
        <f t="shared" si="2"/>
        <v>20.450000000000003</v>
      </c>
      <c r="K22">
        <v>50</v>
      </c>
    </row>
    <row r="23" spans="1:11" x14ac:dyDescent="0.25">
      <c r="A23" s="2">
        <v>44958</v>
      </c>
      <c r="B23">
        <v>1152</v>
      </c>
      <c r="C23">
        <v>7.06</v>
      </c>
      <c r="D23">
        <v>4.12</v>
      </c>
      <c r="E23">
        <f t="shared" si="0"/>
        <v>11.18</v>
      </c>
      <c r="F23" s="5">
        <v>6000856</v>
      </c>
      <c r="G23">
        <f>1190+514</f>
        <v>1704</v>
      </c>
      <c r="H23">
        <f>8.65+2.95</f>
        <v>11.600000000000001</v>
      </c>
      <c r="I23">
        <f t="shared" si="1"/>
        <v>2856</v>
      </c>
      <c r="J23">
        <f t="shared" si="2"/>
        <v>22.78</v>
      </c>
      <c r="K23">
        <v>57</v>
      </c>
    </row>
    <row r="24" spans="1:11" x14ac:dyDescent="0.25">
      <c r="A24" s="2">
        <v>44986</v>
      </c>
      <c r="B24">
        <v>1262</v>
      </c>
      <c r="C24">
        <v>7.65</v>
      </c>
      <c r="D24">
        <v>4.49</v>
      </c>
      <c r="E24">
        <f t="shared" si="0"/>
        <v>12.14</v>
      </c>
      <c r="F24" s="5">
        <v>6501500</v>
      </c>
      <c r="G24">
        <f>1272+607</f>
        <v>1879</v>
      </c>
      <c r="H24">
        <f>9.4+3.74</f>
        <v>13.14</v>
      </c>
      <c r="I24">
        <f t="shared" si="1"/>
        <v>3141</v>
      </c>
      <c r="J24">
        <f t="shared" si="2"/>
        <v>25.28</v>
      </c>
      <c r="K24">
        <v>69</v>
      </c>
    </row>
    <row r="25" spans="1:11" x14ac:dyDescent="0.25">
      <c r="A25" s="2">
        <v>45017</v>
      </c>
      <c r="B25">
        <v>1550</v>
      </c>
      <c r="C25">
        <v>9.4</v>
      </c>
      <c r="D25">
        <v>5.34</v>
      </c>
      <c r="E25">
        <f t="shared" si="0"/>
        <v>14.74</v>
      </c>
      <c r="F25" s="5">
        <v>7990714</v>
      </c>
      <c r="G25">
        <f>1381+491</f>
        <v>1872</v>
      </c>
      <c r="H25">
        <f>10.2+3.23</f>
        <v>13.43</v>
      </c>
      <c r="I25">
        <f t="shared" si="1"/>
        <v>3422</v>
      </c>
      <c r="J25">
        <f t="shared" si="2"/>
        <v>28.17</v>
      </c>
      <c r="K25">
        <v>57</v>
      </c>
    </row>
    <row r="26" spans="1:11" x14ac:dyDescent="0.25">
      <c r="A26" s="2">
        <v>45069</v>
      </c>
      <c r="B26">
        <v>1725</v>
      </c>
      <c r="C26">
        <v>10.68</v>
      </c>
      <c r="D26">
        <v>6.02</v>
      </c>
      <c r="E26">
        <f t="shared" si="0"/>
        <v>16.7</v>
      </c>
      <c r="F26" s="5">
        <v>9075858</v>
      </c>
      <c r="G26">
        <v>1972</v>
      </c>
      <c r="H26">
        <v>13.96</v>
      </c>
      <c r="I26">
        <f t="shared" si="1"/>
        <v>3697</v>
      </c>
      <c r="J26">
        <f t="shared" si="2"/>
        <v>30.66</v>
      </c>
      <c r="K26">
        <v>43</v>
      </c>
    </row>
    <row r="27" spans="1:11" x14ac:dyDescent="0.25">
      <c r="A27" s="2">
        <v>45100</v>
      </c>
      <c r="B27">
        <v>1872</v>
      </c>
      <c r="C27">
        <v>11.67</v>
      </c>
      <c r="D27">
        <v>6.52</v>
      </c>
      <c r="E27">
        <f t="shared" si="0"/>
        <v>18.189999999999998</v>
      </c>
      <c r="F27" s="5">
        <v>9915683</v>
      </c>
      <c r="G27">
        <f>1542+513</f>
        <v>2055</v>
      </c>
      <c r="H27">
        <f>11.36+3.45</f>
        <v>14.809999999999999</v>
      </c>
      <c r="I27">
        <f t="shared" si="1"/>
        <v>3927</v>
      </c>
      <c r="J27">
        <f t="shared" si="2"/>
        <v>33</v>
      </c>
      <c r="K27">
        <v>27</v>
      </c>
    </row>
    <row r="28" spans="1:11" x14ac:dyDescent="0.25">
      <c r="A28" s="2">
        <v>45108</v>
      </c>
      <c r="B28">
        <v>1924</v>
      </c>
      <c r="C28">
        <v>12.06</v>
      </c>
      <c r="D28">
        <v>6.74</v>
      </c>
      <c r="E28">
        <f t="shared" si="0"/>
        <v>18.8</v>
      </c>
      <c r="F28" s="5">
        <v>10254425</v>
      </c>
      <c r="G28">
        <f>1515+666</f>
        <v>2181</v>
      </c>
      <c r="H28">
        <f>11.12+4.55</f>
        <v>15.669999999999998</v>
      </c>
      <c r="I28">
        <f t="shared" si="1"/>
        <v>4105</v>
      </c>
      <c r="J28">
        <f t="shared" si="2"/>
        <v>34.47</v>
      </c>
      <c r="K28">
        <v>37</v>
      </c>
    </row>
    <row r="29" spans="1:11" x14ac:dyDescent="0.25">
      <c r="A29" s="2">
        <v>45139</v>
      </c>
      <c r="B29">
        <v>2131</v>
      </c>
      <c r="C29">
        <v>13.47</v>
      </c>
      <c r="D29">
        <v>7.39</v>
      </c>
      <c r="E29">
        <f t="shared" si="0"/>
        <v>20.86</v>
      </c>
      <c r="F29" s="5">
        <v>11451889</v>
      </c>
      <c r="G29">
        <f>1501+680</f>
        <v>2181</v>
      </c>
      <c r="H29">
        <f>11.16+4.54</f>
        <v>15.7</v>
      </c>
      <c r="I29">
        <f t="shared" si="1"/>
        <v>4312</v>
      </c>
      <c r="J29">
        <f t="shared" si="2"/>
        <v>36.56</v>
      </c>
      <c r="K29">
        <v>53</v>
      </c>
    </row>
    <row r="30" spans="1:11" x14ac:dyDescent="0.25">
      <c r="A30" s="2">
        <v>45170</v>
      </c>
      <c r="B30">
        <v>2339</v>
      </c>
      <c r="C30">
        <v>14.91</v>
      </c>
      <c r="D30">
        <v>8.02</v>
      </c>
      <c r="E30">
        <f t="shared" si="0"/>
        <v>22.93</v>
      </c>
      <c r="F30" s="5">
        <v>12671766</v>
      </c>
      <c r="G30">
        <f>733+1594</f>
        <v>2327</v>
      </c>
      <c r="H30">
        <f>11.74+4.82</f>
        <v>16.560000000000002</v>
      </c>
      <c r="I30">
        <f t="shared" si="1"/>
        <v>4666</v>
      </c>
      <c r="J30">
        <f t="shared" si="2"/>
        <v>39.49</v>
      </c>
      <c r="K30">
        <v>56</v>
      </c>
    </row>
    <row r="31" spans="1:11" x14ac:dyDescent="0.25">
      <c r="G31" t="s">
        <v>24</v>
      </c>
    </row>
  </sheetData>
  <mergeCells count="4">
    <mergeCell ref="A1:K1"/>
    <mergeCell ref="A2:A3"/>
    <mergeCell ref="B2:E2"/>
    <mergeCell ref="G2:H2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3C353DD6D6504092C4D2C59250B68D" ma:contentTypeVersion="15" ma:contentTypeDescription="Create a new document." ma:contentTypeScope="" ma:versionID="d0e9621d6e706610290a35902bcd99c6">
  <xsd:schema xmlns:xsd="http://www.w3.org/2001/XMLSchema" xmlns:xs="http://www.w3.org/2001/XMLSchema" xmlns:p="http://schemas.microsoft.com/office/2006/metadata/properties" xmlns:ns2="b21d8bbe-1d54-431d-9723-392bd36a5066" xmlns:ns3="5ea67a00-16f2-46e9-b61b-e7bbbda2883f" xmlns:ns4="4494cc7c-873d-4c80-9650-25ed479db56e" targetNamespace="http://schemas.microsoft.com/office/2006/metadata/properties" ma:root="true" ma:fieldsID="705bc2a85a5d808f1164a35cac145279" ns2:_="" ns3:_="" ns4:_="">
    <xsd:import namespace="b21d8bbe-1d54-431d-9723-392bd36a5066"/>
    <xsd:import namespace="5ea67a00-16f2-46e9-b61b-e7bbbda2883f"/>
    <xsd:import namespace="4494cc7c-873d-4c80-9650-25ed479db56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1d8bbe-1d54-431d-9723-392bd36a50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7c0b7209-8b30-4d9f-9476-6b035fe2b63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a67a00-16f2-46e9-b61b-e7bbbda2883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94cc7c-873d-4c80-9650-25ed479db56e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c1290c10-a888-432c-8f85-2f9dcc99d8f5}" ma:internalName="TaxCatchAll" ma:showField="CatchAllData" ma:web="5ea67a00-16f2-46e9-b61b-e7bbbda28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21d8bbe-1d54-431d-9723-392bd36a5066">
      <Terms xmlns="http://schemas.microsoft.com/office/infopath/2007/PartnerControls"/>
    </lcf76f155ced4ddcb4097134ff3c332f>
    <TaxCatchAll xmlns="4494cc7c-873d-4c80-9650-25ed479db56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926801-4FA2-4BF4-A2B1-EB91FDCDFE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1d8bbe-1d54-431d-9723-392bd36a5066"/>
    <ds:schemaRef ds:uri="5ea67a00-16f2-46e9-b61b-e7bbbda2883f"/>
    <ds:schemaRef ds:uri="4494cc7c-873d-4c80-9650-25ed479db5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2C66D59-F312-49F5-B101-3909C51734E8}">
  <ds:schemaRefs>
    <ds:schemaRef ds:uri="http://schemas.microsoft.com/office/2006/documentManagement/types"/>
    <ds:schemaRef ds:uri="5ea67a00-16f2-46e9-b61b-e7bbbda2883f"/>
    <ds:schemaRef ds:uri="b21d8bbe-1d54-431d-9723-392bd36a5066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4494cc7c-873d-4c80-9650-25ed479db56e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9E5FB27-0055-4006-9B1F-6A72F478E04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Battery Bonus, All Islands</vt:lpstr>
      <vt:lpstr>Battery Bonus Maui</vt:lpstr>
      <vt:lpstr>Battery Bonus O'ahu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Miller, Luke F</cp:lastModifiedBy>
  <cp:revision/>
  <dcterms:created xsi:type="dcterms:W3CDTF">2023-07-31T23:56:25Z</dcterms:created>
  <dcterms:modified xsi:type="dcterms:W3CDTF">2023-10-17T23:49:35Z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0x010100873C353DD6D6504092C4D2C59250B68D</vt:lpwstr>
  </property>
  <property fmtid="{D5CDD505-2E9C-101B-9397-08002B2CF9AE}" pid="3" name="MediaServiceImageTags">
    <vt:lpwstr/>
  </property>
</Properties>
</file>