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llerLF\Downloads\"/>
    </mc:Choice>
  </mc:AlternateContent>
  <xr:revisionPtr revIDLastSave="0" documentId="8_{5D2E7E5C-C261-4974-9B7E-C9DBF910EA0C}" xr6:coauthVersionLast="47" xr6:coauthVersionMax="47" xr10:uidLastSave="{00000000-0000-0000-0000-000000000000}"/>
  <bookViews>
    <workbookView xWindow="-120" yWindow="-120" windowWidth="29040" windowHeight="15720" tabRatio="415" xr2:uid="{51B10880-A3C1-43D6-859C-0B7CBDB2333D}"/>
  </bookViews>
  <sheets>
    <sheet name="Charts" sheetId="20" r:id="rId1"/>
    <sheet name="Battery Bonus, All Islands" sheetId="17" r:id="rId2"/>
    <sheet name="Battery Bonus Maui" sheetId="18" r:id="rId3"/>
    <sheet name="Battery Bonus O'ahu" sheetId="19" r:id="rId4"/>
    <sheet name="Sheet1" sheetId="15" state="hidden" r:id="rId5"/>
    <sheet name="Discretionary Permits Remain" sheetId="10" state="hidden" r:id="rId6"/>
    <sheet name="TF Project Permit Details" sheetId="2" state="hidden" r:id="rId7"/>
    <sheet name="Permit References and Timelines" sheetId="6" state="hidden" r:id="rId8"/>
    <sheet name="TMKs" sheetId="14" state="hidden" r:id="rId9"/>
    <sheet name="zzz_TF Master Schedule" sheetId="1" state="hidden" r:id="rId10"/>
    <sheet name="Permit Details Demo" sheetId="3" state="hidden" r:id="rId11"/>
  </sheets>
  <definedNames>
    <definedName name="_xlnm._FilterDatabase" localSheetId="7" hidden="1">'Permit References and Timelines'!$A$1:$H$27</definedName>
    <definedName name="_xlnm._FilterDatabase" localSheetId="4" hidden="1">Sheet1!$A$1:$B$13</definedName>
    <definedName name="_xlnm._FilterDatabase" localSheetId="6" hidden="1">'TF Project Permit Details'!$A$1:$I$117</definedName>
  </definedNames>
  <calcPr calcId="191028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7" l="1"/>
  <c r="J39" i="17" s="1"/>
  <c r="C39" i="17"/>
  <c r="D39" i="17"/>
  <c r="E39" i="17"/>
  <c r="F39" i="17"/>
  <c r="G39" i="17"/>
  <c r="H39" i="17"/>
  <c r="I39" i="17"/>
  <c r="K39" i="17"/>
  <c r="H40" i="18"/>
  <c r="G40" i="18"/>
  <c r="J40" i="18"/>
  <c r="I40" i="18"/>
  <c r="J40" i="19"/>
  <c r="I38" i="19"/>
  <c r="I39" i="19"/>
  <c r="I40" i="19"/>
  <c r="H40" i="19"/>
  <c r="G40" i="19"/>
  <c r="E40" i="19"/>
  <c r="E40" i="18"/>
  <c r="B34" i="17"/>
  <c r="J34" i="17" s="1"/>
  <c r="C34" i="17"/>
  <c r="E34" i="17" s="1"/>
  <c r="K34" i="17" s="1"/>
  <c r="D34" i="17"/>
  <c r="F34" i="17"/>
  <c r="G34" i="17"/>
  <c r="H34" i="17"/>
  <c r="I34" i="17"/>
  <c r="B35" i="17"/>
  <c r="J35" i="17" s="1"/>
  <c r="C35" i="17"/>
  <c r="D35" i="17"/>
  <c r="E35" i="17"/>
  <c r="K35" i="17" s="1"/>
  <c r="F35" i="17"/>
  <c r="G35" i="17"/>
  <c r="H35" i="17"/>
  <c r="I35" i="17"/>
  <c r="B36" i="17"/>
  <c r="J36" i="17" s="1"/>
  <c r="C36" i="17"/>
  <c r="D36" i="17"/>
  <c r="E36" i="17"/>
  <c r="K36" i="17" s="1"/>
  <c r="F36" i="17"/>
  <c r="G36" i="17"/>
  <c r="H36" i="17"/>
  <c r="I36" i="17"/>
  <c r="B37" i="17"/>
  <c r="J37" i="17" s="1"/>
  <c r="C37" i="17"/>
  <c r="D37" i="17"/>
  <c r="E37" i="17"/>
  <c r="K37" i="17" s="1"/>
  <c r="F37" i="17"/>
  <c r="G37" i="17"/>
  <c r="H37" i="17"/>
  <c r="I37" i="17"/>
  <c r="B38" i="17"/>
  <c r="C38" i="17"/>
  <c r="D38" i="17"/>
  <c r="E38" i="17"/>
  <c r="F38" i="17"/>
  <c r="G38" i="17"/>
  <c r="H38" i="17"/>
  <c r="I38" i="17"/>
  <c r="J38" i="17"/>
  <c r="K38" i="17"/>
  <c r="I35" i="18"/>
  <c r="J35" i="18"/>
  <c r="H35" i="18"/>
  <c r="G35" i="18"/>
  <c r="E35" i="18"/>
  <c r="J35" i="19"/>
  <c r="I35" i="19"/>
  <c r="H35" i="19"/>
  <c r="G35" i="19"/>
  <c r="E35" i="19"/>
  <c r="H39" i="18"/>
  <c r="G39" i="18"/>
  <c r="I39" i="18" s="1"/>
  <c r="H38" i="18"/>
  <c r="G38" i="18"/>
  <c r="I38" i="18" s="1"/>
  <c r="E39" i="18"/>
  <c r="J39" i="18" s="1"/>
  <c r="E38" i="18"/>
  <c r="J38" i="18" s="1"/>
  <c r="H39" i="19"/>
  <c r="H38" i="19"/>
  <c r="G38" i="19"/>
  <c r="G39" i="19"/>
  <c r="E38" i="19" l="1"/>
  <c r="J38" i="19" s="1"/>
  <c r="E39" i="19"/>
  <c r="J39" i="19" s="1"/>
  <c r="J37" i="18"/>
  <c r="H37" i="18"/>
  <c r="G37" i="18"/>
  <c r="I37" i="18" s="1"/>
  <c r="E37" i="18"/>
  <c r="J37" i="19"/>
  <c r="H37" i="19"/>
  <c r="G37" i="19"/>
  <c r="E37" i="19"/>
  <c r="H36" i="18"/>
  <c r="G36" i="18"/>
  <c r="E36" i="18"/>
  <c r="J36" i="18" s="1"/>
  <c r="H36" i="19"/>
  <c r="G36" i="19"/>
  <c r="I36" i="19"/>
  <c r="E36" i="19"/>
  <c r="J36" i="19" s="1"/>
  <c r="B33" i="17"/>
  <c r="C33" i="17"/>
  <c r="D33" i="17"/>
  <c r="F33" i="17"/>
  <c r="G33" i="17"/>
  <c r="I33" i="17"/>
  <c r="H34" i="18"/>
  <c r="G34" i="18"/>
  <c r="I34" i="18"/>
  <c r="E34" i="18"/>
  <c r="H34" i="19"/>
  <c r="G34" i="19"/>
  <c r="I34" i="19" s="1"/>
  <c r="G24" i="19"/>
  <c r="E34" i="19"/>
  <c r="B31" i="17"/>
  <c r="J31" i="17" s="1"/>
  <c r="C31" i="17"/>
  <c r="D31" i="17"/>
  <c r="E31" i="17"/>
  <c r="F31" i="17"/>
  <c r="I31" i="17"/>
  <c r="B32" i="17"/>
  <c r="C32" i="17"/>
  <c r="D32" i="17"/>
  <c r="F32" i="17"/>
  <c r="I32" i="17"/>
  <c r="H33" i="18"/>
  <c r="J33" i="18" s="1"/>
  <c r="G33" i="18"/>
  <c r="I33" i="18" s="1"/>
  <c r="E33" i="18"/>
  <c r="I32" i="18"/>
  <c r="H32" i="18"/>
  <c r="G32" i="18"/>
  <c r="G31" i="17" s="1"/>
  <c r="E32" i="18"/>
  <c r="J32" i="18" s="1"/>
  <c r="H33" i="19"/>
  <c r="G33" i="19"/>
  <c r="I32" i="19"/>
  <c r="H32" i="19"/>
  <c r="H31" i="17" s="1"/>
  <c r="G32" i="19"/>
  <c r="E32" i="19"/>
  <c r="E33" i="19"/>
  <c r="B30" i="17"/>
  <c r="C30" i="17"/>
  <c r="D30" i="17"/>
  <c r="F30" i="17"/>
  <c r="I30" i="17"/>
  <c r="H31" i="18"/>
  <c r="H30" i="17" s="1"/>
  <c r="G31" i="18"/>
  <c r="G30" i="17" s="1"/>
  <c r="E31" i="18"/>
  <c r="H31" i="19"/>
  <c r="J31" i="19" s="1"/>
  <c r="G31" i="19"/>
  <c r="I31" i="19" s="1"/>
  <c r="E31" i="19"/>
  <c r="B29" i="17"/>
  <c r="C29" i="17"/>
  <c r="D29" i="17"/>
  <c r="F29" i="17"/>
  <c r="I29" i="17"/>
  <c r="H30" i="18"/>
  <c r="G30" i="18"/>
  <c r="I30" i="18" s="1"/>
  <c r="E30" i="18"/>
  <c r="H30" i="19"/>
  <c r="H29" i="17" s="1"/>
  <c r="G30" i="19"/>
  <c r="E30" i="19"/>
  <c r="I30" i="19"/>
  <c r="E33" i="17" l="1"/>
  <c r="I31" i="18"/>
  <c r="J31" i="18"/>
  <c r="G32" i="17"/>
  <c r="J32" i="17" s="1"/>
  <c r="I36" i="18"/>
  <c r="H32" i="17"/>
  <c r="H33" i="17"/>
  <c r="K33" i="17" s="1"/>
  <c r="G29" i="17"/>
  <c r="J29" i="17" s="1"/>
  <c r="E30" i="17"/>
  <c r="K30" i="17" s="1"/>
  <c r="J34" i="18"/>
  <c r="K31" i="17"/>
  <c r="E32" i="17"/>
  <c r="E29" i="17"/>
  <c r="K29" i="17" s="1"/>
  <c r="J32" i="19"/>
  <c r="I33" i="19"/>
  <c r="J33" i="17"/>
  <c r="I37" i="19"/>
  <c r="J33" i="19"/>
  <c r="J30" i="17"/>
  <c r="J34" i="19"/>
  <c r="J30" i="18"/>
  <c r="J30" i="19"/>
  <c r="K32" i="17" l="1"/>
  <c r="B28" i="17"/>
  <c r="C28" i="17"/>
  <c r="D28" i="17"/>
  <c r="F28" i="17"/>
  <c r="G28" i="17"/>
  <c r="I28" i="17"/>
  <c r="I29" i="19"/>
  <c r="J29" i="19"/>
  <c r="H29" i="19"/>
  <c r="H28" i="17" s="1"/>
  <c r="G29" i="19"/>
  <c r="E29" i="19"/>
  <c r="I28" i="18"/>
  <c r="I29" i="18"/>
  <c r="H29" i="18"/>
  <c r="J29" i="18" s="1"/>
  <c r="E29" i="18"/>
  <c r="H28" i="18"/>
  <c r="G28" i="18"/>
  <c r="E23" i="18"/>
  <c r="J23" i="18" s="1"/>
  <c r="E24" i="18"/>
  <c r="J24" i="18" s="1"/>
  <c r="E25" i="18"/>
  <c r="J25" i="18" s="1"/>
  <c r="E26" i="18"/>
  <c r="J26" i="18" s="1"/>
  <c r="E27" i="18"/>
  <c r="J27" i="18" s="1"/>
  <c r="E28" i="18"/>
  <c r="J28" i="18" s="1"/>
  <c r="E22" i="18"/>
  <c r="J22" i="18" s="1"/>
  <c r="H28" i="19"/>
  <c r="J28" i="19" s="1"/>
  <c r="G28" i="19"/>
  <c r="I28" i="19" s="1"/>
  <c r="E28" i="19"/>
  <c r="B27" i="17"/>
  <c r="C27" i="17"/>
  <c r="D27" i="17"/>
  <c r="F27" i="17"/>
  <c r="I27" i="17"/>
  <c r="H27" i="19"/>
  <c r="J27" i="19" s="1"/>
  <c r="G27" i="19"/>
  <c r="I27" i="19" s="1"/>
  <c r="E27" i="19"/>
  <c r="I26" i="19"/>
  <c r="E26" i="19"/>
  <c r="J26" i="19" s="1"/>
  <c r="H25" i="19"/>
  <c r="J25" i="19" s="1"/>
  <c r="G25" i="19"/>
  <c r="G24" i="17" s="1"/>
  <c r="E25" i="19"/>
  <c r="H24" i="19"/>
  <c r="J24" i="19" s="1"/>
  <c r="I24" i="19"/>
  <c r="E24" i="19"/>
  <c r="H23" i="19"/>
  <c r="H22" i="17" s="1"/>
  <c r="G23" i="19"/>
  <c r="G22" i="17" s="1"/>
  <c r="E23" i="19"/>
  <c r="I22" i="19"/>
  <c r="H22" i="19"/>
  <c r="J22" i="19" s="1"/>
  <c r="G22" i="19"/>
  <c r="E22" i="19"/>
  <c r="H21" i="19"/>
  <c r="G21" i="19"/>
  <c r="G20" i="17" s="1"/>
  <c r="E21" i="19"/>
  <c r="J21" i="19" s="1"/>
  <c r="H20" i="19"/>
  <c r="G20" i="19"/>
  <c r="I20" i="19" s="1"/>
  <c r="E20" i="19"/>
  <c r="I19" i="19"/>
  <c r="H19" i="19"/>
  <c r="H18" i="17" s="1"/>
  <c r="G19" i="19"/>
  <c r="G18" i="17" s="1"/>
  <c r="E19" i="19"/>
  <c r="H18" i="19"/>
  <c r="H17" i="17" s="1"/>
  <c r="G18" i="19"/>
  <c r="G17" i="17" s="1"/>
  <c r="E18" i="19"/>
  <c r="H17" i="19"/>
  <c r="G17" i="19"/>
  <c r="I17" i="19" s="1"/>
  <c r="E17" i="19"/>
  <c r="J17" i="19" s="1"/>
  <c r="H16" i="19"/>
  <c r="H15" i="17" s="1"/>
  <c r="G16" i="19"/>
  <c r="G15" i="17" s="1"/>
  <c r="E16" i="19"/>
  <c r="I15" i="19"/>
  <c r="H15" i="19"/>
  <c r="J15" i="19" s="1"/>
  <c r="G15" i="19"/>
  <c r="E15" i="19"/>
  <c r="H14" i="19"/>
  <c r="H13" i="17" s="1"/>
  <c r="G14" i="19"/>
  <c r="I14" i="19" s="1"/>
  <c r="E14" i="19"/>
  <c r="H13" i="19"/>
  <c r="G13" i="19"/>
  <c r="I13" i="19" s="1"/>
  <c r="E13" i="19"/>
  <c r="H12" i="19"/>
  <c r="G12" i="19"/>
  <c r="I12" i="19" s="1"/>
  <c r="E12" i="19"/>
  <c r="H11" i="19"/>
  <c r="H10" i="17" s="1"/>
  <c r="G11" i="19"/>
  <c r="G10" i="17" s="1"/>
  <c r="E11" i="19"/>
  <c r="H10" i="19"/>
  <c r="H9" i="17" s="1"/>
  <c r="G10" i="19"/>
  <c r="G9" i="17" s="1"/>
  <c r="E10" i="19"/>
  <c r="J10" i="19" s="1"/>
  <c r="H9" i="19"/>
  <c r="H8" i="17" s="1"/>
  <c r="G9" i="19"/>
  <c r="G8" i="17" s="1"/>
  <c r="E9" i="19"/>
  <c r="J9" i="19" s="1"/>
  <c r="H8" i="19"/>
  <c r="J8" i="19" s="1"/>
  <c r="G8" i="19"/>
  <c r="G7" i="17" s="1"/>
  <c r="E8" i="19"/>
  <c r="I7" i="19"/>
  <c r="E7" i="19"/>
  <c r="J7" i="19" s="1"/>
  <c r="I6" i="19"/>
  <c r="E6" i="19"/>
  <c r="J6" i="19" s="1"/>
  <c r="I5" i="19"/>
  <c r="E5" i="19"/>
  <c r="J5" i="19" s="1"/>
  <c r="I4" i="19"/>
  <c r="E4" i="19"/>
  <c r="J4" i="19" s="1"/>
  <c r="I27" i="18"/>
  <c r="H27" i="18"/>
  <c r="G27" i="18"/>
  <c r="I26" i="18"/>
  <c r="G25" i="18"/>
  <c r="I25" i="18" s="1"/>
  <c r="I24" i="18"/>
  <c r="I23" i="18"/>
  <c r="H22" i="18"/>
  <c r="G22" i="18"/>
  <c r="G21" i="17" s="1"/>
  <c r="J21" i="17" s="1"/>
  <c r="H21" i="18"/>
  <c r="H20" i="17" s="1"/>
  <c r="G21" i="18"/>
  <c r="I21" i="18" s="1"/>
  <c r="E21" i="18"/>
  <c r="I20" i="18"/>
  <c r="E20" i="18"/>
  <c r="J20" i="18" s="1"/>
  <c r="I19" i="18"/>
  <c r="E19" i="18"/>
  <c r="J19" i="18" s="1"/>
  <c r="I18" i="18"/>
  <c r="E18" i="18"/>
  <c r="J18" i="18" s="1"/>
  <c r="J17" i="18"/>
  <c r="I17" i="18"/>
  <c r="E17" i="18"/>
  <c r="I16" i="18"/>
  <c r="E16" i="18"/>
  <c r="J16" i="18" s="1"/>
  <c r="I15" i="18"/>
  <c r="E15" i="18"/>
  <c r="J15" i="18" s="1"/>
  <c r="I14" i="18"/>
  <c r="E14" i="18"/>
  <c r="J14" i="18" s="1"/>
  <c r="I13" i="18"/>
  <c r="E13" i="18"/>
  <c r="J13" i="18" s="1"/>
  <c r="I12" i="18"/>
  <c r="E12" i="18"/>
  <c r="J12" i="18" s="1"/>
  <c r="I11" i="18"/>
  <c r="E11" i="18"/>
  <c r="J11" i="18" s="1"/>
  <c r="I10" i="18"/>
  <c r="E10" i="18"/>
  <c r="J10" i="18" s="1"/>
  <c r="I9" i="18"/>
  <c r="E9" i="18"/>
  <c r="J9" i="18" s="1"/>
  <c r="I8" i="18"/>
  <c r="E8" i="18"/>
  <c r="J8" i="18" s="1"/>
  <c r="I7" i="18"/>
  <c r="E7" i="18"/>
  <c r="J7" i="18" s="1"/>
  <c r="J6" i="18"/>
  <c r="I6" i="18"/>
  <c r="E6" i="18"/>
  <c r="I5" i="18"/>
  <c r="E5" i="18"/>
  <c r="J5" i="18" s="1"/>
  <c r="I4" i="18"/>
  <c r="E4" i="18"/>
  <c r="J4" i="18" s="1"/>
  <c r="I26" i="17"/>
  <c r="H26" i="17"/>
  <c r="F26" i="17"/>
  <c r="D26" i="17"/>
  <c r="C26" i="17"/>
  <c r="B26" i="17"/>
  <c r="I25" i="17"/>
  <c r="H25" i="17"/>
  <c r="G25" i="17"/>
  <c r="F25" i="17"/>
  <c r="D25" i="17"/>
  <c r="C25" i="17"/>
  <c r="E25" i="17" s="1"/>
  <c r="K25" i="17" s="1"/>
  <c r="B25" i="17"/>
  <c r="I24" i="17"/>
  <c r="F24" i="17"/>
  <c r="D24" i="17"/>
  <c r="C24" i="17"/>
  <c r="B24" i="17"/>
  <c r="I23" i="17"/>
  <c r="G23" i="17"/>
  <c r="F23" i="17"/>
  <c r="D23" i="17"/>
  <c r="C23" i="17"/>
  <c r="E23" i="17" s="1"/>
  <c r="B23" i="17"/>
  <c r="J23" i="17" s="1"/>
  <c r="I22" i="17"/>
  <c r="F22" i="17"/>
  <c r="D22" i="17"/>
  <c r="C22" i="17"/>
  <c r="B22" i="17"/>
  <c r="I21" i="17"/>
  <c r="F21" i="17"/>
  <c r="D21" i="17"/>
  <c r="C21" i="17"/>
  <c r="B21" i="17"/>
  <c r="I20" i="17"/>
  <c r="F20" i="17"/>
  <c r="D20" i="17"/>
  <c r="C20" i="17"/>
  <c r="B20" i="17"/>
  <c r="I19" i="17"/>
  <c r="F19" i="17"/>
  <c r="D19" i="17"/>
  <c r="C19" i="17"/>
  <c r="B19" i="17"/>
  <c r="I18" i="17"/>
  <c r="F18" i="17"/>
  <c r="D18" i="17"/>
  <c r="C18" i="17"/>
  <c r="B18" i="17"/>
  <c r="I17" i="17"/>
  <c r="F17" i="17"/>
  <c r="D17" i="17"/>
  <c r="C17" i="17"/>
  <c r="B17" i="17"/>
  <c r="I16" i="17"/>
  <c r="H16" i="17"/>
  <c r="F16" i="17"/>
  <c r="D16" i="17"/>
  <c r="C16" i="17"/>
  <c r="E16" i="17" s="1"/>
  <c r="K16" i="17" s="1"/>
  <c r="B16" i="17"/>
  <c r="I15" i="17"/>
  <c r="F15" i="17"/>
  <c r="D15" i="17"/>
  <c r="C15" i="17"/>
  <c r="B15" i="17"/>
  <c r="I14" i="17"/>
  <c r="G14" i="17"/>
  <c r="F14" i="17"/>
  <c r="D14" i="17"/>
  <c r="C14" i="17"/>
  <c r="B14" i="17"/>
  <c r="I13" i="17"/>
  <c r="G13" i="17"/>
  <c r="F13" i="17"/>
  <c r="D13" i="17"/>
  <c r="C13" i="17"/>
  <c r="B13" i="17"/>
  <c r="I12" i="17"/>
  <c r="F12" i="17"/>
  <c r="D12" i="17"/>
  <c r="C12" i="17"/>
  <c r="B12" i="17"/>
  <c r="I11" i="17"/>
  <c r="F11" i="17"/>
  <c r="D11" i="17"/>
  <c r="C11" i="17"/>
  <c r="B11" i="17"/>
  <c r="I10" i="17"/>
  <c r="F10" i="17"/>
  <c r="D10" i="17"/>
  <c r="C10" i="17"/>
  <c r="B10" i="17"/>
  <c r="I9" i="17"/>
  <c r="F9" i="17"/>
  <c r="D9" i="17"/>
  <c r="C9" i="17"/>
  <c r="B9" i="17"/>
  <c r="I8" i="17"/>
  <c r="F8" i="17"/>
  <c r="D8" i="17"/>
  <c r="C8" i="17"/>
  <c r="B8" i="17"/>
  <c r="I7" i="17"/>
  <c r="F7" i="17"/>
  <c r="D7" i="17"/>
  <c r="C7" i="17"/>
  <c r="B7" i="17"/>
  <c r="I6" i="17"/>
  <c r="H6" i="17"/>
  <c r="G6" i="17"/>
  <c r="F6" i="17"/>
  <c r="D6" i="17"/>
  <c r="C6" i="17"/>
  <c r="B6" i="17"/>
  <c r="I5" i="17"/>
  <c r="H5" i="17"/>
  <c r="G5" i="17"/>
  <c r="F5" i="17"/>
  <c r="D5" i="17"/>
  <c r="C5" i="17"/>
  <c r="E5" i="17" s="1"/>
  <c r="K5" i="17" s="1"/>
  <c r="B5" i="17"/>
  <c r="J5" i="17" s="1"/>
  <c r="I4" i="17"/>
  <c r="H4" i="17"/>
  <c r="G4" i="17"/>
  <c r="F4" i="17"/>
  <c r="D4" i="17"/>
  <c r="C4" i="17"/>
  <c r="B4" i="17"/>
  <c r="I3" i="17"/>
  <c r="G3" i="17"/>
  <c r="F3" i="17"/>
  <c r="D3" i="17"/>
  <c r="C3" i="17"/>
  <c r="B3" i="17"/>
  <c r="E7" i="17" l="1"/>
  <c r="E28" i="17"/>
  <c r="E10" i="17"/>
  <c r="K10" i="17" s="1"/>
  <c r="E19" i="17"/>
  <c r="E17" i="17"/>
  <c r="J21" i="18"/>
  <c r="J28" i="17"/>
  <c r="J15" i="17"/>
  <c r="E24" i="17"/>
  <c r="K28" i="17"/>
  <c r="J18" i="17"/>
  <c r="H14" i="17"/>
  <c r="J14" i="19"/>
  <c r="J20" i="19"/>
  <c r="J12" i="19"/>
  <c r="H21" i="17"/>
  <c r="J13" i="19"/>
  <c r="E3" i="17"/>
  <c r="K3" i="17" s="1"/>
  <c r="J9" i="17"/>
  <c r="E9" i="17"/>
  <c r="K9" i="17" s="1"/>
  <c r="E11" i="17"/>
  <c r="E13" i="17"/>
  <c r="K13" i="17" s="1"/>
  <c r="E21" i="17"/>
  <c r="I10" i="19"/>
  <c r="J6" i="17"/>
  <c r="J14" i="17"/>
  <c r="J3" i="17"/>
  <c r="J20" i="17"/>
  <c r="E15" i="17"/>
  <c r="K15" i="17" s="1"/>
  <c r="H23" i="17"/>
  <c r="K23" i="17" s="1"/>
  <c r="E26" i="17"/>
  <c r="K26" i="17" s="1"/>
  <c r="J8" i="17"/>
  <c r="J19" i="19"/>
  <c r="J4" i="17"/>
  <c r="G11" i="17"/>
  <c r="J11" i="17" s="1"/>
  <c r="E4" i="17"/>
  <c r="K4" i="17" s="1"/>
  <c r="H11" i="17"/>
  <c r="E18" i="17"/>
  <c r="K18" i="17" s="1"/>
  <c r="E14" i="17"/>
  <c r="J25" i="17"/>
  <c r="E12" i="17"/>
  <c r="J13" i="17"/>
  <c r="J24" i="17"/>
  <c r="E20" i="17"/>
  <c r="K20" i="17" s="1"/>
  <c r="J7" i="17"/>
  <c r="E6" i="17"/>
  <c r="K6" i="17" s="1"/>
  <c r="E8" i="17"/>
  <c r="K8" i="17" s="1"/>
  <c r="J10" i="17"/>
  <c r="E22" i="17"/>
  <c r="K22" i="17" s="1"/>
  <c r="H27" i="17"/>
  <c r="G27" i="17"/>
  <c r="J27" i="17"/>
  <c r="E27" i="17"/>
  <c r="K17" i="17"/>
  <c r="J22" i="17"/>
  <c r="J17" i="17"/>
  <c r="H7" i="17"/>
  <c r="I8" i="19"/>
  <c r="G12" i="17"/>
  <c r="J12" i="17" s="1"/>
  <c r="I25" i="19"/>
  <c r="H24" i="17"/>
  <c r="K24" i="17" s="1"/>
  <c r="I18" i="19"/>
  <c r="I11" i="19"/>
  <c r="J18" i="19"/>
  <c r="I23" i="19"/>
  <c r="J11" i="19"/>
  <c r="I16" i="19"/>
  <c r="J23" i="19"/>
  <c r="G16" i="17"/>
  <c r="J16" i="17" s="1"/>
  <c r="I9" i="19"/>
  <c r="J16" i="19"/>
  <c r="I21" i="19"/>
  <c r="G19" i="17"/>
  <c r="J19" i="17" s="1"/>
  <c r="H19" i="17"/>
  <c r="K19" i="17" s="1"/>
  <c r="I22" i="18"/>
  <c r="H12" i="17"/>
  <c r="G26" i="17"/>
  <c r="J26" i="17" s="1"/>
  <c r="K7" i="17" l="1"/>
  <c r="K12" i="17"/>
  <c r="K21" i="17"/>
  <c r="K14" i="17"/>
  <c r="K11" i="17"/>
  <c r="K2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tc={5A249890-CD72-4AF5-A498-627D022DA0CC}</author>
    <author>tc={6C80EAF2-E2DC-4A02-A398-5E4933D7D81C}</author>
    <author>tc={1DEA89F9-D38B-40C6-93C2-FBB1804E1F4F}</author>
    <author>tc={C4099DCB-D71D-40AB-885B-48DCF0D0BFC2}</author>
  </authors>
  <commentList>
    <comment ref="B1" authorId="0" shapeId="0" xr:uid="{5A249890-CD72-4AF5-A498-627D022DA0CC}">
      <text>
        <t>[Threaded comment]
Your version of Excel allows you to read this threaded comment; however, any edits to it will get removed if the file is opened in a newer version of Excel. Learn more: https://go.microsoft.com/fwlink/?linkid=870924
Comment:
    I changed this, since some of these are not "permitting" agencies, but are aproving entities - I think it is a difference worth distinguising to help stakeholders understand different roles.</t>
      </text>
    </comment>
    <comment ref="C1" authorId="1" shapeId="0" xr:uid="{6C80EAF2-E2DC-4A02-A398-5E4933D7D81C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there a column or way to indicate if a permit or approval is ministerial, discretionary, or unclear?</t>
      </text>
    </comment>
    <comment ref="C49" authorId="2" shapeId="0" xr:uid="{1DEA89F9-D38B-40C6-93C2-FBB1804E1F4F}">
      <text>
        <t>[Threaded comment]
Your version of Excel allows you to read this threaded comment; however, any edits to it will get removed if the file is opened in a newer version of Excel. Learn more: https://go.microsoft.com/fwlink/?linkid=870924
Comment:
    do you know if this is the permit to perfom work, or is this for application for occupancy and use? both? I am guessing it is for work?</t>
      </text>
    </comment>
    <comment ref="E71" authorId="3" shapeId="0" xr:uid="{C4099DCB-D71D-40AB-885B-48DCF0D0BFC2}">
      <text>
        <t>[Threaded comment]
Your version of Excel allows you to read this threaded comment; however, any edits to it will get removed if the file is opened in a newer version of Excel. Learn more: https://go.microsoft.com/fwlink/?linkid=870924
Comment:
    do they have a confirmatory letter?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tc={74A711E5-4138-4140-8FE0-24AF6FC36C6C}</author>
    <author>tc={EDFE4821-4F05-42B4-B739-27F8880C4A15}</author>
  </authors>
  <commentList>
    <comment ref="B1" authorId="0" shapeId="0" xr:uid="{74A711E5-4138-4140-8FE0-24AF6FC36C6C}">
      <text>
        <t>[Threaded comment]
Your version of Excel allows you to read this threaded comment; however, any edits to it will get removed if the file is opened in a newer version of Excel. Learn more: https://go.microsoft.com/fwlink/?linkid=870924
Comment:
    I changed this, since some of these are not "permitting" agencies, but are aproving entities - I think it is a difference worth distinguising to help stakeholders understand different roles.</t>
      </text>
    </comment>
    <comment ref="C1" authorId="1" shapeId="0" xr:uid="{EDFE4821-4F05-42B4-B739-27F8880C4A15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there a column or way to indicate if a permit or approval is ministerial, discretionary, or unclear?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tc={1BE9E035-F5E8-442A-B01D-4E1064C68B2A}</author>
  </authors>
  <commentList>
    <comment ref="B1" authorId="0" shapeId="0" xr:uid="{1BE9E035-F5E8-442A-B01D-4E1064C68B2A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there a column or way to indicate if a permit or approval is ministerial, discretionary, or unclear?</t>
      </text>
    </comment>
  </commentList>
</comments>
</file>

<file path=xl/sharedStrings.xml><?xml version="1.0" encoding="utf-8"?>
<sst xmlns="http://schemas.openxmlformats.org/spreadsheetml/2006/main" count="1763" uniqueCount="610">
  <si>
    <t>Guaranteed Commercial Operations Date</t>
  </si>
  <si>
    <t>2018-0434</t>
  </si>
  <si>
    <t>Mililani I
Solar (Stage 1)</t>
  </si>
  <si>
    <t>2018-0435</t>
  </si>
  <si>
    <t>Waiawa
Solar (Stage 1)</t>
  </si>
  <si>
    <t>Kapolei Energy
Storage (KES) (Stage 2)</t>
  </si>
  <si>
    <t>2019-0050</t>
  </si>
  <si>
    <t>West O‘ahu
Solar (Stage 1)</t>
  </si>
  <si>
    <t>2020-0139</t>
  </si>
  <si>
    <t>Mountain View Solar
(Stage 2)</t>
  </si>
  <si>
    <t>Kūpono Solar</t>
  </si>
  <si>
    <t>GCOD
4-9-24</t>
  </si>
  <si>
    <t>2020-0137</t>
  </si>
  <si>
    <t>Waiawa Phase 2 Solar (Stage 2)</t>
  </si>
  <si>
    <t>2018-0431</t>
  </si>
  <si>
    <t>Ho‘ohana Solar 1
(Stage 1)</t>
  </si>
  <si>
    <t>Barbers Point Solar</t>
  </si>
  <si>
    <t>N/A</t>
  </si>
  <si>
    <t>Palailai Solar 1 - Phase 1</t>
  </si>
  <si>
    <t>Project</t>
  </si>
  <si>
    <t>AES Kuihelani Solar
(Stage 1)</t>
  </si>
  <si>
    <t>GCOD 
10-27-23</t>
  </si>
  <si>
    <t xml:space="preserve">AES Waikoloa Solar </t>
  </si>
  <si>
    <t>12/26/22 COD (slipped from 11/3/2022)</t>
  </si>
  <si>
    <t>Barber's Point Solar</t>
  </si>
  <si>
    <t>Original GCOD
12-29-23
COD
5-2-24</t>
  </si>
  <si>
    <t xml:space="preserve">Hale Kuawehi Solar </t>
  </si>
  <si>
    <t xml:space="preserve">COD 5/5/23 (slipped from 4/28/23 and 12/2/22) </t>
  </si>
  <si>
    <t>GCOD
8-31-23
Estimated COD
12-15-23</t>
  </si>
  <si>
    <t xml:space="preserve">Kahana Solar (Stage 2) </t>
  </si>
  <si>
    <t>Original GCOD:
12-29-23
Anticipated COD 4-17-24</t>
  </si>
  <si>
    <t>Kamaole Solar (Stage 2)</t>
  </si>
  <si>
    <t>Original GCOD
07-25-23
Anticipated COD 10-29-24</t>
  </si>
  <si>
    <t>New GCOD
12-30-22
Estimated COD
3-10-23</t>
  </si>
  <si>
    <t>Keahole Battery Energy Storage</t>
  </si>
  <si>
    <t>1-23-24 (slipped from 12-28-23 and 11-28-23)</t>
  </si>
  <si>
    <t>KHLS Phase 1</t>
  </si>
  <si>
    <t>GCOD
12-17-22
COD
Aug-23</t>
  </si>
  <si>
    <t>Mahi Solar
(Stage 2)</t>
  </si>
  <si>
    <t>Original GCOD
12-31-23
New Proposed GCOD
3-31-24 
(GCOD in recent PPA under review by PUC)</t>
  </si>
  <si>
    <t>New GCOD 
7-31-22
Estimated COD
7-29-22</t>
  </si>
  <si>
    <t>GCOD
5-17-23
Estimated COD
6-6-23</t>
  </si>
  <si>
    <t>Paeahu Solar
Stage 1 (docket suspended)</t>
  </si>
  <si>
    <r>
      <rPr>
        <sz val="14"/>
        <color rgb="FF0000CC"/>
        <rFont val="Calibri"/>
        <family val="2"/>
      </rPr>
      <t>Suspension lifted 5-11-22</t>
    </r>
    <r>
      <rPr>
        <sz val="14"/>
        <color theme="1"/>
        <rFont val="Calibri"/>
        <family val="2"/>
      </rPr>
      <t xml:space="preserve">
GCOD 4-28-23
COD 9-8-23</t>
    </r>
  </si>
  <si>
    <t>New GCOD
1-27-23
COD
March 2023</t>
  </si>
  <si>
    <t>Pulehu Solar (Stage 2)</t>
  </si>
  <si>
    <t>COD now listed as 10-31-24 
Proposed new GCOD 12-31-23
Original GCOD was 4-28-23</t>
  </si>
  <si>
    <t>Waena Battery Energy Storage System
(Awaiting Commission Approval)</t>
  </si>
  <si>
    <t>5-28-24 (slipped from 4-26-24, 3-29-24 and 2-29-24 and 1-29-24)</t>
  </si>
  <si>
    <t>GCOD
10-30-23</t>
  </si>
  <si>
    <t>New GCOD 
9-30-22
Estimated COD
11-14-22 
(COVID-19 lockdown in Shanghai, China delaying delivery of battery enclosures; could impact COD)</t>
  </si>
  <si>
    <t>GCOD
9-7-22
Estimated COD 
1-20-23
(Extended due to Force Majeure)</t>
  </si>
  <si>
    <t>Developer</t>
  </si>
  <si>
    <t xml:space="preserve"> </t>
  </si>
  <si>
    <t>Discretionary Permit Outstanding</t>
  </si>
  <si>
    <t>State</t>
  </si>
  <si>
    <t>City and County</t>
  </si>
  <si>
    <t>Notes</t>
  </si>
  <si>
    <t>West O‘ahu Solar</t>
  </si>
  <si>
    <t>AES</t>
  </si>
  <si>
    <t>not really a discretionary permit, but approval still needed</t>
  </si>
  <si>
    <t>Mountain View Solar Stage 2</t>
  </si>
  <si>
    <t>PUC overhead line review, IRS target 11-15
6e SHPD compliance</t>
  </si>
  <si>
    <t>CUPminor,
Zoning waiver (DPP)</t>
  </si>
  <si>
    <t>status update states "if applicable" for zoning waiver- it is applicable</t>
  </si>
  <si>
    <t>6e compliance, LUC ammendment</t>
  </si>
  <si>
    <t>CUPm, 
Zoning waiver (DPP)</t>
  </si>
  <si>
    <t>status update states "if applicable" for zoning waiver - it is applicable</t>
  </si>
  <si>
    <t>Mahi Solar</t>
  </si>
  <si>
    <t>Longroad Energy</t>
  </si>
  <si>
    <t>CUPminor, Zoning Waiver (DPP)</t>
  </si>
  <si>
    <t>Permitting,  Approving, or Accepting Agency</t>
  </si>
  <si>
    <t>Permit or Approval</t>
  </si>
  <si>
    <t>Discretionary or Ministerial</t>
  </si>
  <si>
    <t>Application Date or Status</t>
  </si>
  <si>
    <t>Issuance Status</t>
  </si>
  <si>
    <t>Permit or Approval Issuance or Target (ETA) Date</t>
  </si>
  <si>
    <t>Last Updated (HSEO ref)</t>
  </si>
  <si>
    <t>AES West O‘ahu</t>
  </si>
  <si>
    <t>AES West O‘ahu Solar (Stage 1)</t>
  </si>
  <si>
    <t>PUC</t>
  </si>
  <si>
    <t>Overhead Line Review</t>
  </si>
  <si>
    <t>Discretionary</t>
  </si>
  <si>
    <t>Approved</t>
  </si>
  <si>
    <t>Approved 3-18-21</t>
  </si>
  <si>
    <t>DLNR-SHPD</t>
  </si>
  <si>
    <t xml:space="preserve">HRS 6E Compliance </t>
  </si>
  <si>
    <t xml:space="preserve">Approved   </t>
  </si>
  <si>
    <t>DPP, OEQC</t>
  </si>
  <si>
    <t>HRS 343 Compliance (Environmental Assessment)</t>
  </si>
  <si>
    <t>FEA accepted and filed on 7-8-20</t>
  </si>
  <si>
    <t>DOH-CWB</t>
  </si>
  <si>
    <t xml:space="preserve">NPDES  </t>
  </si>
  <si>
    <t>Ministerial</t>
  </si>
  <si>
    <t>AES West O‘ahu Solar</t>
  </si>
  <si>
    <t xml:space="preserve">Special Use Permit                                                        </t>
  </si>
  <si>
    <t>Complete 5-13-21, Final approval 6-10-21</t>
  </si>
  <si>
    <t>DPP</t>
  </si>
  <si>
    <t xml:space="preserve">Conditional Use Permit - Minor </t>
  </si>
  <si>
    <t>Permit Application Filing milestone was met in August 2020</t>
  </si>
  <si>
    <t>Land Use Commission rescheduled hearing from May 26-27 to June 9; impacted ability to move forward with CUP (Minor). Working with DPP to accelerate DPP permits</t>
  </si>
  <si>
    <t>DLNR - Land Court</t>
  </si>
  <si>
    <t>Secure Land Rights</t>
  </si>
  <si>
    <t>Estimate sending easement to land court mid August to early September</t>
  </si>
  <si>
    <t>DOH-IRHB</t>
  </si>
  <si>
    <t>Noise Permit</t>
  </si>
  <si>
    <t>ETA Q3-Q4 2021</t>
  </si>
  <si>
    <t>Grading, Grubbing, and Stockpiling Permit</t>
  </si>
  <si>
    <t>Land Use Commission delayed  hearing June 9 (approved); impacted ability to move forward with CUP (Minor). Working with DPP to accelerate DPP permits.</t>
  </si>
  <si>
    <t xml:space="preserve">ETA Q4 2021 </t>
  </si>
  <si>
    <t>Building and Electrical Permit</t>
  </si>
  <si>
    <t>Kupehau</t>
  </si>
  <si>
    <t>Kupehau Solar (Stage 2)</t>
  </si>
  <si>
    <t>Mililani I</t>
  </si>
  <si>
    <t>Mililani I Solar (Stage 1)</t>
  </si>
  <si>
    <t>Conditional Use Permit - Minor (Modification)</t>
  </si>
  <si>
    <t>submitted</t>
  </si>
  <si>
    <t>Zoning Waiver</t>
  </si>
  <si>
    <t>Conditional Use Permit - Minor</t>
  </si>
  <si>
    <t>Conditional Use Permit - Minor (Joint Development)</t>
  </si>
  <si>
    <t xml:space="preserve">NPDES </t>
  </si>
  <si>
    <t>FAA</t>
  </si>
  <si>
    <t>FAA Determination of No Hazard</t>
  </si>
  <si>
    <t xml:space="preserve">Completed </t>
  </si>
  <si>
    <t>Summer-Fall 2019</t>
  </si>
  <si>
    <t>USACOE</t>
  </si>
  <si>
    <t>Section 404 Clean Water Act - Nationwide Permit Program</t>
  </si>
  <si>
    <t>USFWS, DLNR-DOFAW</t>
  </si>
  <si>
    <t>Biological Resource Consultation</t>
  </si>
  <si>
    <t xml:space="preserve">Grading and Grubbing Permit </t>
  </si>
  <si>
    <t>Submitted Nov 2020</t>
  </si>
  <si>
    <t>Building Permit (PV Project)</t>
  </si>
  <si>
    <t>Section 401 Water Quality Certification</t>
  </si>
  <si>
    <t>Not Required</t>
  </si>
  <si>
    <t>N-A</t>
  </si>
  <si>
    <t>USFWS</t>
  </si>
  <si>
    <t>Section 7-10 Endangered Species Act Consultation</t>
  </si>
  <si>
    <t>Building Permit (HECO Substation)</t>
  </si>
  <si>
    <t>Building Permit (Project Substation)</t>
  </si>
  <si>
    <t>Received courtesy inspection approval, anticipate full approval by end of July</t>
  </si>
  <si>
    <t>Courtesy inspection approval received, Pending full approval (anticipated end of July)</t>
  </si>
  <si>
    <t>Waiawa</t>
  </si>
  <si>
    <t>Waiawa Solar (Stage 1)</t>
  </si>
  <si>
    <t xml:space="preserve">Not Required   </t>
  </si>
  <si>
    <t xml:space="preserve">Completed    </t>
  </si>
  <si>
    <t xml:space="preserve">Completed  </t>
  </si>
  <si>
    <t>March, 2021</t>
  </si>
  <si>
    <t>NPDES- Construction</t>
  </si>
  <si>
    <t xml:space="preserve">Approved </t>
  </si>
  <si>
    <t>LUC</t>
  </si>
  <si>
    <t xml:space="preserve">Motion to Amend for Urban Land Use </t>
  </si>
  <si>
    <t xml:space="preserve">Approved  </t>
  </si>
  <si>
    <t>Zoning Waiver(s)</t>
  </si>
  <si>
    <t>Approved  
Approved</t>
  </si>
  <si>
    <t>August 13, 2020
March 15, 2021</t>
  </si>
  <si>
    <t>Conditional Use Permit - Minor Modification</t>
  </si>
  <si>
    <t>Building Permit (PV-BESS Project)</t>
  </si>
  <si>
    <t>Q2 2021</t>
  </si>
  <si>
    <t>DOT</t>
  </si>
  <si>
    <t>Highway Permit</t>
  </si>
  <si>
    <t>Submitted</t>
  </si>
  <si>
    <t xml:space="preserve">Pending </t>
  </si>
  <si>
    <t>Building Permit (Overhead Line)</t>
  </si>
  <si>
    <t>Target Submission Q2 2021</t>
  </si>
  <si>
    <t>AES Mountain View</t>
  </si>
  <si>
    <t>AES Mountain View Solar (Stage 2)</t>
  </si>
  <si>
    <t>In progress</t>
  </si>
  <si>
    <t>HRS 6E Compliance</t>
  </si>
  <si>
    <t>ETA Q4 2021-Q1 2021</t>
  </si>
  <si>
    <t>ETA Q4 2021-Q1 2022</t>
  </si>
  <si>
    <t>Zoning Waiver (if applicable)</t>
  </si>
  <si>
    <t>ETA Q1 2022-Q2 2022</t>
  </si>
  <si>
    <t>ETA Q1-Q2 2022</t>
  </si>
  <si>
    <t>Ho‘ohana</t>
  </si>
  <si>
    <t>Ho‘ohana Solar (Stage 1)</t>
  </si>
  <si>
    <t>AIS accepted 2-19-15</t>
  </si>
  <si>
    <t>Grading (Initial Road Construction)</t>
  </si>
  <si>
    <t xml:space="preserve">NPDES (Initial Road Construction) </t>
  </si>
  <si>
    <t>DPP, LUC</t>
  </si>
  <si>
    <t>Special Use Permit - Amendment- Restatement of State Land Use Boundary Amendment</t>
  </si>
  <si>
    <t>Approved - Decision and Order pending</t>
  </si>
  <si>
    <t>Road Crossing Agreement</t>
  </si>
  <si>
    <t>Not Applicable</t>
  </si>
  <si>
    <t>Building Permit (HECO Switchyard)</t>
  </si>
  <si>
    <t>Not required per DPP guidance; requesting confirmatory letter from DPP</t>
  </si>
  <si>
    <t>46kV Line Relocation Approval</t>
  </si>
  <si>
    <t>In Progress</t>
  </si>
  <si>
    <t>Grading (Solar and Battery Project)</t>
  </si>
  <si>
    <t>Target submission July 2021</t>
  </si>
  <si>
    <t>ETA October 2021</t>
  </si>
  <si>
    <t>Grading (Project Substation)</t>
  </si>
  <si>
    <t>Submitted 5-12-2021</t>
  </si>
  <si>
    <t>Grading (HECO Switchyard)</t>
  </si>
  <si>
    <t>Initial submission 5-12-2021; some design work refinement continuing</t>
  </si>
  <si>
    <t xml:space="preserve">NPDES - Form C (Solar and Battery Project) </t>
  </si>
  <si>
    <t>Initial submission 3-22-2021; some design work refinement continuing</t>
  </si>
  <si>
    <t xml:space="preserve">NPDES - Form C (Project Substation) </t>
  </si>
  <si>
    <t>Building Permit (Solar and Battery Project)</t>
  </si>
  <si>
    <t>Submit June 2021. Project design in progress</t>
  </si>
  <si>
    <t>ETA November 2021</t>
  </si>
  <si>
    <t>Submission 5-12-2021</t>
  </si>
  <si>
    <t>Waiawa Phase 2 Solar</t>
  </si>
  <si>
    <t>DOH-US Navy</t>
  </si>
  <si>
    <t>Zone of Influence Approval (if applicable)</t>
  </si>
  <si>
    <t>ETA Q2-Q3 2021</t>
  </si>
  <si>
    <t>HRS 6E compliance to START 12-18-20</t>
  </si>
  <si>
    <t>HRS 6E compliance to targeted to END 4-9-21</t>
  </si>
  <si>
    <t>LUC Amendment to Decision and Order</t>
  </si>
  <si>
    <t>ETA Q3 2021-Q4 2021</t>
  </si>
  <si>
    <t>NPDES - Form C</t>
  </si>
  <si>
    <t>Mahi</t>
  </si>
  <si>
    <t>Permit to Cross Public Highway</t>
  </si>
  <si>
    <t>Approval of PPA</t>
  </si>
  <si>
    <t>Approved - 12-31-2020</t>
  </si>
  <si>
    <t>Application filed 4-6-21; stipulated procedural schedule filed on 6-21-21</t>
  </si>
  <si>
    <t>Special Use Permit</t>
  </si>
  <si>
    <t>Application submitted on 12-15-2020; Revised and resubmitted March 2021.</t>
  </si>
  <si>
    <t>HRS 6E Compliance (Plan Approval, Archeological Assessment)</t>
  </si>
  <si>
    <t>SHPD accepted the AIS with the proposed mitigation and monitoring measures.  
Significant traditional historic properties and wahi pana have been identified in the vicinity, including Pohakea Trail, ali‘i battle sites, a heiau atop Pu‘u Ku‘ua, and Honouliuli National Historic Site, among others. None of these significant historic properties were identified as extending into the Mahi Solar project area. However, two plantation-related sites abut or extend into the project area: the Waiāhole Ditch (Site 50-80-09-2268) and remnants of the Oʻahu Sugar Company Irrigation Infrastructure (Site 50-80-12-7346).
The AIS report (Rechtman, September 2021) meets the requirements of HAR 13-276-5. It is accepted. Please submit one hard copy of the AIS, labeled Final, along with a text-searchable pdf copy of the AIS and a copy of this letter to the SHPD Kapolei office, attention Library. Please upload a text-searchable pdf copy of the Final AIS to HICRIS Project No. 2021PR00380 using the Project Supplement option, and a copy to Lehua.K.Soares@hawaii.gov.
SHPD hereby notifies the DPP that SUP permit issuance process may continue with the understanding that an AMP meeting the requirements of HAR §13-279-4 prior to project initiation shall be submitted for SHPD review and acceptance prior to project initiation.</t>
  </si>
  <si>
    <t>Determination received</t>
  </si>
  <si>
    <t>Target submission August 2021 (after SUP Approval)</t>
  </si>
  <si>
    <t>ETA 10-27-2021</t>
  </si>
  <si>
    <t>Conditional Use Permit - Minor for Utility Installation, Type B</t>
  </si>
  <si>
    <t>Conditional Use Permit - Minor Joint Development</t>
  </si>
  <si>
    <t>Building Permits</t>
  </si>
  <si>
    <t>Target submission October 2021</t>
  </si>
  <si>
    <t>ETA February 2022</t>
  </si>
  <si>
    <t>Grading, Grubbing, Stockpiling Permit</t>
  </si>
  <si>
    <t>ETA December 2021</t>
  </si>
  <si>
    <t>kes</t>
  </si>
  <si>
    <t>Kapolei Energy Storage (Stage 2)</t>
  </si>
  <si>
    <t>Approved - 10-29-2019</t>
  </si>
  <si>
    <t>Approved 10-28-20</t>
  </si>
  <si>
    <t>Submitted 4-6-2021</t>
  </si>
  <si>
    <t>Drainage Plan Approval</t>
  </si>
  <si>
    <t>Anticipated to file the application on 10-12-2021 to third party reviewer</t>
  </si>
  <si>
    <t xml:space="preserve">Update: ETA 2-9-22, slipped from ETA 12-28-2021 (expected) </t>
  </si>
  <si>
    <t>Anticipated to file the application on 11-12-2021 to third party reviewer</t>
  </si>
  <si>
    <t>Update: 3-12-22, slipped from ETA 1-28-2022 (expected)</t>
  </si>
  <si>
    <t>DOH- CWB</t>
  </si>
  <si>
    <t>Anticipated to file the application to third party reviewer on 10-12-21</t>
  </si>
  <si>
    <t>no longer on docket update (may need to follow-up).</t>
  </si>
  <si>
    <t>Notice of approval sent on Sept. 15 2021</t>
  </si>
  <si>
    <t>Approved 09/15/2021</t>
  </si>
  <si>
    <t>Barbers Point Solar (PPA Not Yet Approved by PUC)</t>
  </si>
  <si>
    <t>DHHL</t>
  </si>
  <si>
    <t>HRS 343 EA</t>
  </si>
  <si>
    <t>In progress, pre-assessment consultation</t>
  </si>
  <si>
    <t>DOT-HWY</t>
  </si>
  <si>
    <t>Permit to Perform Work Upon State Highway</t>
  </si>
  <si>
    <t>Jurisdiction</t>
  </si>
  <si>
    <t>Permitting / Approving Agency</t>
  </si>
  <si>
    <t>Resources</t>
  </si>
  <si>
    <t>Type</t>
  </si>
  <si>
    <t>Common Rank (1 most common - 5 less common)</t>
  </si>
  <si>
    <t>Typical Timeline (days)</t>
  </si>
  <si>
    <t>https://energy.hawaii.gov/renewable-energy-project-permitting-in-the-state-of-Hawai‘i</t>
  </si>
  <si>
    <t>County</t>
  </si>
  <si>
    <t>http://www.honoluludpp.org/ReportsNotices/DailyBulletins.aspx</t>
  </si>
  <si>
    <t>http://www.honoluludpp.org/ReportsNotices/MonthlyBulletins.aspx</t>
  </si>
  <si>
    <t>Grading Permit</t>
  </si>
  <si>
    <t xml:space="preserve">Zoning Waiver </t>
  </si>
  <si>
    <t>http://www.honoluludpp.org/Calendar.aspx</t>
  </si>
  <si>
    <t>30-90 days</t>
  </si>
  <si>
    <t>https://energy.hawaii.gov/wp-content/uploads/2015/07/Oahu-Waiver-Permit_March-2015.pdf</t>
  </si>
  <si>
    <t>Grubbing Permit</t>
  </si>
  <si>
    <t xml:space="preserve">County </t>
  </si>
  <si>
    <t>Building Permit Project</t>
  </si>
  <si>
    <t>http://eha-web.doh.hawaii.gov/wpc-viewer/</t>
  </si>
  <si>
    <t>Steate</t>
  </si>
  <si>
    <t>NPDES (Construction)</t>
  </si>
  <si>
    <t xml:space="preserve">NPDES (Solar and Battery Project) </t>
  </si>
  <si>
    <t>ask developer</t>
  </si>
  <si>
    <t>LUC (State)</t>
  </si>
  <si>
    <t xml:space="preserve">Special Use Permit (Projects &gt;15 acres, LUC makes final decision). </t>
  </si>
  <si>
    <t>https://luc.hawaii.gov/</t>
  </si>
  <si>
    <t xml:space="preserve">Planning Commission (County) </t>
  </si>
  <si>
    <t>https://www.honolulu.gov/dpppd/default.html</t>
  </si>
  <si>
    <t>Trenching Permit</t>
  </si>
  <si>
    <t>Permit Application to Perform Work Upon State Highways </t>
  </si>
  <si>
    <t>5-10 days</t>
  </si>
  <si>
    <t>Application &amp; Permit for the Occupancy &amp; Use of State Highway Right-of-Way </t>
  </si>
  <si>
    <t>NPDES Dewatering</t>
  </si>
  <si>
    <t>Conditional Use Permit - Major</t>
  </si>
  <si>
    <t>Federal</t>
  </si>
  <si>
    <t>DLNR - OCCL</t>
  </si>
  <si>
    <t>Conservation District Use Permit</t>
  </si>
  <si>
    <t>https://dlnr.hawaii.gov/occl/current-applications/</t>
  </si>
  <si>
    <t>DBEDT - OP</t>
  </si>
  <si>
    <t>CZMA Fed Consistency</t>
  </si>
  <si>
    <t>District Boundary Amendment</t>
  </si>
  <si>
    <t>https://luc.hawaii.gov/calendar/
luc.hawaii.gov -&gt; then hit pending dockets -&gt; boundary amendments</t>
  </si>
  <si>
    <t>USACE</t>
  </si>
  <si>
    <t>CWA Section 404 Permit - Individual</t>
  </si>
  <si>
    <t>SMA - major</t>
  </si>
  <si>
    <t xml:space="preserve">Section 9 </t>
  </si>
  <si>
    <t>Discretionary - PUC</t>
  </si>
  <si>
    <t>SHPD</t>
  </si>
  <si>
    <t>HRS 6E, Historic Preservation</t>
  </si>
  <si>
    <t>https://dlnr.hawaii.gov/shpd/intake-and-determinations/</t>
  </si>
  <si>
    <t>see determinations reports</t>
  </si>
  <si>
    <t>Section 7/10 Endangered Species Act Consultation</t>
  </si>
  <si>
    <t>Varies - Accepting Agency</t>
  </si>
  <si>
    <t>http://oeqc2.doh.hawaii.gov/_layouts/15/start.aspx#/Doc_Library/</t>
  </si>
  <si>
    <t>DOH CWB</t>
  </si>
  <si>
    <t>CWA Section 401 WQ Certification</t>
  </si>
  <si>
    <t>DLNR - CWRM</t>
  </si>
  <si>
    <t>Stream channel Alteration</t>
  </si>
  <si>
    <t>State / County</t>
  </si>
  <si>
    <t>Stream Diversion</t>
  </si>
  <si>
    <t>Project *</t>
  </si>
  <si>
    <t>Tax Map Key(s)</t>
  </si>
  <si>
    <t>AES Mountain View Solar</t>
  </si>
  <si>
    <t>185003031; 185003032; 185019034</t>
  </si>
  <si>
    <t xml:space="preserve">AES West Oahu Solar Plus Storage </t>
  </si>
  <si>
    <t xml:space="preserve">Hoohana Solar 1 </t>
  </si>
  <si>
    <t>Kapolei Energy Storage</t>
  </si>
  <si>
    <t>192001001; 192004012; 192004006; 192004003; 192004010</t>
  </si>
  <si>
    <t xml:space="preserve">Mililani I Solar </t>
  </si>
  <si>
    <t>194005090; 194005092; 194005096; 194005091</t>
  </si>
  <si>
    <t xml:space="preserve">Waiawa Phase 2 Solar </t>
  </si>
  <si>
    <t>196004024; 196004025; 196004026; 196006036</t>
  </si>
  <si>
    <t xml:space="preserve">Waiawa Solar Power </t>
  </si>
  <si>
    <t xml:space="preserve">Coal </t>
  </si>
  <si>
    <t>AES West O‘ahu Solar (Stage 1) - 2019-0050</t>
  </si>
  <si>
    <t>Plant</t>
  </si>
  <si>
    <t>GCOD</t>
  </si>
  <si>
    <t>Environmental Site Studies</t>
  </si>
  <si>
    <t>DONE</t>
  </si>
  <si>
    <t>Shut</t>
  </si>
  <si>
    <t>Engineering and Design</t>
  </si>
  <si>
    <t>Engineering (Q3 2020 - Q3 2021); Engineering at 100% design phase</t>
  </si>
  <si>
    <t>Down</t>
  </si>
  <si>
    <t>IRS System Impact Study</t>
  </si>
  <si>
    <t>IRS Facility Study</t>
  </si>
  <si>
    <t>IRS Amendment</t>
  </si>
  <si>
    <t>Transmission Line Approval</t>
  </si>
  <si>
    <t>Permitting: Environmental and Land Use (Discretionary)</t>
  </si>
  <si>
    <t>Permitting (Q3 2020 - Q4 2021) -- LUC hearing on SUP 6/9-6/10; CUP expected Q3 2021</t>
  </si>
  <si>
    <t>Permitting: Construction (Ministerial)</t>
  </si>
  <si>
    <t>Permitting (Q3 2020 - Q4 2021)</t>
  </si>
  <si>
    <t>Procurement</t>
  </si>
  <si>
    <t>Procurement (Q1 2021 - Q4 2021)</t>
  </si>
  <si>
    <t xml:space="preserve">Construction </t>
  </si>
  <si>
    <t>Construction (Q4 2021 - Q2 2022)</t>
  </si>
  <si>
    <t>Hawaiian Electric Work</t>
  </si>
  <si>
    <t xml:space="preserve">Hawaiian Electric Work (Q4 2020 - Q2 2022) -- engineering, design, procurement, construction of interconnection facilities </t>
  </si>
  <si>
    <t>Acceptance Test</t>
  </si>
  <si>
    <t>Testing and Commissioning (Q1 2022 - Q3 2022) -- Acceptance Test typically takes 30 business days</t>
  </si>
  <si>
    <t>Energization</t>
  </si>
  <si>
    <t>Testing and Commissioning (Q1 2022 - Q3 2022) -- Energization is a one time event</t>
  </si>
  <si>
    <t>Commissioning</t>
  </si>
  <si>
    <t>Testing and Commissioning (Q1 2022 - Q3 2022) -- Commissioning includes Acceptance Test and CSAT</t>
  </si>
  <si>
    <t>Control System Acceptance Test</t>
  </si>
  <si>
    <t>Testing and Commissioning (Q1 2022 - Q3 2022) -- CSAT tests operation of entire system; requires adequate solar resource</t>
  </si>
  <si>
    <t>Commercial Operations</t>
  </si>
  <si>
    <t>Mililani I Solar (Stage 1) - 2018-0434</t>
  </si>
  <si>
    <t>Engineering (Q2 2020 - Q3 2021) -- HECO reviewed 90% design; Issued for Construction (IFC); 60% design for substation</t>
  </si>
  <si>
    <t>Permitting (Q4 2020 - Q2 2021) -- final Building Permit (substation) expected June 2021</t>
  </si>
  <si>
    <t>Procurement (Q3 2020 - Q3 2021)</t>
  </si>
  <si>
    <t>Construction (Q1 2021 - Q1 2022) -- groundbreaking ceremony April 2021; construction expected May 2021</t>
  </si>
  <si>
    <t xml:space="preserve">Hawaiian Electric Work (Q4 2020 - Q4 2021) -- engineering, design, procurement, construction of interconnection facilities </t>
  </si>
  <si>
    <t>Testing and Commissioning (Q1 2022 - Q4 2022) -- Acceptance Test typically takes 30 business days</t>
  </si>
  <si>
    <t>Testing and Commissioning (Q1 2022 - Q4 2022) -- Energization is a one time event</t>
  </si>
  <si>
    <t>Testing and Commissioning (Q1 2022 - Q4 2022) -- Commissioning includes Acceptance Test and CSAT</t>
  </si>
  <si>
    <t>Testing and Commissioning (Q1 2022 - Q4 2022) -- CSAT tests operation of entire system; requires adequate solar resource</t>
  </si>
  <si>
    <t>Potential GCOD 7/31/22</t>
  </si>
  <si>
    <t>Waiawa Solar (Stage 1) - 2018-0435</t>
  </si>
  <si>
    <t>Engineering (Q4 2020 - Q3 2021) -- HECO reviewed 90% substation design; 60% gen-tie design; 90% design under development</t>
  </si>
  <si>
    <t>Permitting (Q4 2020 - Q3 2021) -- substation Building Permit expected July 2021; 46kV OH line Building Permit expected October 2021</t>
  </si>
  <si>
    <t>Procurement (Q3 2020 - 4 2021)</t>
  </si>
  <si>
    <t>Construction (Q1 2021 - Q2 2022) -- groundbreaking ceremony April 2021; construction expected May 2021</t>
  </si>
  <si>
    <t>Testing and Commissioning (Q2 2022 - Q4 2022) -- Acceptance Test typically takes 30 business days</t>
  </si>
  <si>
    <t>Testing and Commissioning (Q2 2022 - Q4 2022) -- Energization is a one time event</t>
  </si>
  <si>
    <t>Testing and Commissioning (Q2 2022 - Q4 2022) -- Commissioning includes Acceptance Test and CSAT</t>
  </si>
  <si>
    <t>Testing and Commissioning (Q2 2022 - Q4 2022) -- CSAT tests operation of entire system; requires adequate solar resource</t>
  </si>
  <si>
    <t>Potential GCOD 8/31/22</t>
  </si>
  <si>
    <t>Kapolei Energy Storage (Stage 2) - 2020-0136</t>
  </si>
  <si>
    <t>New GCOD - early battery delivery</t>
  </si>
  <si>
    <t>New GCOD - NO early battery delivery</t>
  </si>
  <si>
    <t>Early Engineering Letter Agreement executed; HE reviewed 30% design</t>
  </si>
  <si>
    <t>Revised FS completed May 2021, however, revisions are likely due to KES's new proposed schedule</t>
  </si>
  <si>
    <t>IRS Amendment process scheduled from late May to July 2021</t>
  </si>
  <si>
    <t>Application for 138kV OH line filed 4/6/21</t>
  </si>
  <si>
    <r>
      <t xml:space="preserve">DONE </t>
    </r>
    <r>
      <rPr>
        <sz val="11"/>
        <color theme="1"/>
        <rFont val="Trebuchet MS"/>
        <family val="2"/>
        <scheme val="minor"/>
      </rPr>
      <t>-- KES plans to secure land rights by June 2021</t>
    </r>
  </si>
  <si>
    <t>Construction Permitting (9/15/21 - 1/7/22)</t>
  </si>
  <si>
    <t>Procurement (3/16/21 - 6/10/22)</t>
  </si>
  <si>
    <t>Construction (October 2020 - July 2022)</t>
  </si>
  <si>
    <t>Hawaiian Electric Work (September 2019 - July 2022)</t>
  </si>
  <si>
    <t>Acceptance Testing</t>
  </si>
  <si>
    <t>CSAT</t>
  </si>
  <si>
    <t>Original GCOD</t>
  </si>
  <si>
    <t>AES Mountain View Solar (Stage 2) - 2020-0139</t>
  </si>
  <si>
    <t>Virtual Public Meeting on 5/19</t>
  </si>
  <si>
    <t>Engineering (Q2 2021 - Q2 2022) -- to stay on schedule Early Engineering Agreement must be executed no later than June 2021; AES and HE are discussing Early Engineering (May 2021 Status Report)</t>
  </si>
  <si>
    <t>Anticipated to be completed May 2021</t>
  </si>
  <si>
    <t>Exchanged comments May 2021</t>
  </si>
  <si>
    <t>Estimated filing of IRS Amendment for Stage 2 projects (2Q/3Q 2021)</t>
  </si>
  <si>
    <t>Estimated filing of OH Line Approval for Stage 2 projects (2Q/3Q 2021)</t>
  </si>
  <si>
    <t>Permitting (Q3 2021 - Q2 2022) -- HRS 6E compliance to be completed Q2/Q3 2021; Environmental and Land Use Permitting to be completed by Q1 2022 (May 2021 Status Update)</t>
  </si>
  <si>
    <t>Procurement (Q3 2021 - Q2 2022)</t>
  </si>
  <si>
    <t>Construction (Q2 2022 - Q1 2023)</t>
  </si>
  <si>
    <t>Hawaiian Electric Work - Remote Engineering</t>
  </si>
  <si>
    <t>Remote Engineering (Q3 2021 - Q1 2022)</t>
  </si>
  <si>
    <t>Hawaiian Electric Work - Remote Procurement</t>
  </si>
  <si>
    <t>Remote Procurement (Q4 2021 - Q3 2022)</t>
  </si>
  <si>
    <t>Hawaiian Electric Work - Remote Construction</t>
  </si>
  <si>
    <t>Remote Construction (Q3 2022)</t>
  </si>
  <si>
    <t>Testing and Commissioning (Q1 2023 - Q2 2023) -- Acceptance Test typically takes 30 business days</t>
  </si>
  <si>
    <t>Testing and Commissioning (Q1 2023 - Q2 2023) -- Energization is a one time event</t>
  </si>
  <si>
    <t>Testing and Commissioning (Q1 2023 - Q2 2023) -- Commissioning includes Acceptance Test and CSAT</t>
  </si>
  <si>
    <t>Testing and Commissioning (Q1 2023 - Q2 2023) -- CSAT tests operation of entire system; requires adequate solar resource</t>
  </si>
  <si>
    <t>Kupehau Solar (Stage 2) - 2020-0138</t>
  </si>
  <si>
    <t>Engineering (Q2 2020 - Q3 2022) -- Early Engineering Agreement executed; HECO reviewed 30% design</t>
  </si>
  <si>
    <t>Anticipated SIS completion date May 2021</t>
  </si>
  <si>
    <t>Preliminary FS under review by 174PG</t>
  </si>
  <si>
    <t xml:space="preserve">Anticipated IRS Amendment completion date is confidential (HECO 3/15/21 IR Response) </t>
  </si>
  <si>
    <t xml:space="preserve">To be included with Ho‘ohana Solar 1 </t>
  </si>
  <si>
    <t>Permitting (Q1 2020 - Q2 2022) -- Environmental and Land Use Permit to be completed March 2022 (May 2021 Status Update)</t>
  </si>
  <si>
    <t xml:space="preserve">Permitting (Q1 2020 - Q2 2022) -- Construction Permitting to be completed May 2022 (May 2021 Status Update)  </t>
  </si>
  <si>
    <t>Procurement (Q2 2020 - Q3 2022)</t>
  </si>
  <si>
    <t>Construction (Q1 2022 - Q1 2023)</t>
  </si>
  <si>
    <t xml:space="preserve">Hawaiian Electric Work (Q1 2021 - Q1 2023) -- engineering, design, procurement, construction of interconnection facilities </t>
  </si>
  <si>
    <t>Testing and Commissioning (Q1 2023 - Q3 2023) -- Acceptance Test typically takes 30 business days</t>
  </si>
  <si>
    <t>Testing and Commissioning (Q1 2023 - Q3 2023) -- Energization is a one time event</t>
  </si>
  <si>
    <t>Testing and Commissioning (Q1 2023 - Q3 2023) -- Commissioning includes Acceptance Test and CSAT</t>
  </si>
  <si>
    <t>Testing and Commissioning (Q1 2023 - Q3 2023) -- CSAT tests operation of entire system; requires adequate solar resource</t>
  </si>
  <si>
    <t>New estimated GCOD (7/1/23)</t>
  </si>
  <si>
    <t>Ho‘ohana Solar 1 (Stage 1) - 2018-0431</t>
  </si>
  <si>
    <t>Engineering (Q2 2020 - Q1 2022) -- 60% switchyard design due to HECO 6/3/21; 90% switchyard design due to HECO 10/6/21</t>
  </si>
  <si>
    <t>SIS re-study expected to be completed May 2021</t>
  </si>
  <si>
    <t>Application for 138kV Kahe-Hālawa OH line filed 2/26/21; application for 138kV Kahe-Waiau UG line to be filed June 2021; filing for 46kV Wai‘au-Mililani UG/OH line relocation to be filed June 2021</t>
  </si>
  <si>
    <t>Permitting (Q1 2020 -Q1 2022) -- CUP-M modification and Zoning Waiver to be submitted June 2021</t>
  </si>
  <si>
    <t>Permitting (Q1 2020 -Q1 2022) -- final Building Permit (solar/battery) to be submitted June 2021</t>
  </si>
  <si>
    <t>Procurement (Q2 2021 - Q3 2022)</t>
  </si>
  <si>
    <t xml:space="preserve">Hawaiian Electric Work (Q2 2021 - Q4 2022) -- engineering, design, procurement, construction of interconnection facilities </t>
  </si>
  <si>
    <t>Waiawa Phase 2 Solar (Stage 2) - 2020-0137</t>
  </si>
  <si>
    <t>Engineering (Q1 2021 - Q2 2022) -- Engineering and Design must start June 2021 to stay on schedule; AES and HE are discussing Early Engineering; Waiawa Solar (stage 1 ) line runs through Waiawa Phase 2 site; potential delays to GCOD if Wahiawa substation work is not completed on-time (May 2021 Status Report)</t>
  </si>
  <si>
    <t>Final FS was sent to Waiawa on 6/1/2021. Preparing responses to Developer's questions provided on 6/11/2021</t>
  </si>
  <si>
    <t>Permitting (Q3 2020 - Q2 2022) -- HRS 6E compliance to be completed Q2/Q3 2021</t>
  </si>
  <si>
    <t>Assumes Procurement starts after Environmental and Land Use Permitting is complete</t>
  </si>
  <si>
    <t>Construction (Q4 2021 - Q2 2023)</t>
  </si>
  <si>
    <t>Remote Engineering (Q3 2021 - Q3 2022)</t>
  </si>
  <si>
    <t>Remote Procurement (Q1 2022 - Q1 2023)</t>
  </si>
  <si>
    <t>Remote Construction (Q1 2023 - Q2 2023)</t>
  </si>
  <si>
    <t>Testing and Commissioning (Q2 2023 - Q4 2023) -- Acceptance Test typically takes 30 business days</t>
  </si>
  <si>
    <t>Testing and Commissioning (Q2 2023 - Q4 2023) -- Energization is a one time event</t>
  </si>
  <si>
    <t>Testing and Commissioning (Q2 2023 - Q4 2023) -- Commissioning includes Acceptance Test and CSAT</t>
  </si>
  <si>
    <t>Testing and Commissioning (Q2 2023 - Q4 2023) -- CSAT tests operation of entire system; requires adequate solar resource</t>
  </si>
  <si>
    <t>Mahi Solar (Stage 2) - 2020-0140</t>
  </si>
  <si>
    <t>Engineering (Q2 2021 - Q2 2022) -- Early Engineering Agreement executed 4/15/21</t>
  </si>
  <si>
    <t>Preliminary FS issued to Longroad 2/10/21; review completed; final FS to be completed July 2021</t>
  </si>
  <si>
    <t>Permitting (Q2 2020 - Q1 2022) -- C&amp;CH Planning Commission to hear SUP on 6/23/21; Longroad planning for SUP approval by August 2021</t>
  </si>
  <si>
    <t>Estimated Construction Permitting starts</t>
  </si>
  <si>
    <t>Procurement (Q2 2021 - Q4 2022)</t>
  </si>
  <si>
    <t>Construction (Q1 2022 - Q2 2023)</t>
  </si>
  <si>
    <t>Remote Engineering (Q2 2021 - Q1 2022)</t>
  </si>
  <si>
    <t>Remote Construction (Q3 2022 - Q4 2022)</t>
  </si>
  <si>
    <t>Kupono Solar*</t>
  </si>
  <si>
    <t>NEPA Compliance JBPHH</t>
  </si>
  <si>
    <t>Permitting Agency</t>
  </si>
  <si>
    <t xml:space="preserve">Required Studies </t>
  </si>
  <si>
    <t xml:space="preserve">Status of Required Studies </t>
  </si>
  <si>
    <t>Permit Number</t>
  </si>
  <si>
    <t>Developer Contact</t>
  </si>
  <si>
    <t>Project Website</t>
  </si>
  <si>
    <t>Project Size (ac) + Storage (ac)</t>
  </si>
  <si>
    <t>Location</t>
  </si>
  <si>
    <t>Project Size (Gross Area in Acres)</t>
  </si>
  <si>
    <t>County Zoning</t>
  </si>
  <si>
    <t>State Land Use District(s) (Soil Types)</t>
  </si>
  <si>
    <t>PUC Docket</t>
  </si>
  <si>
    <t>PUC Term (Years)</t>
  </si>
  <si>
    <t>Project Guaranteed Commercial Operations Date</t>
  </si>
  <si>
    <t>Kupehau Solar</t>
  </si>
  <si>
    <t>174 Power Global</t>
  </si>
  <si>
    <t>60MW + 240MWh</t>
  </si>
  <si>
    <t>Kunia</t>
  </si>
  <si>
    <t>(1)9-2-004:008</t>
  </si>
  <si>
    <t>AG-1</t>
  </si>
  <si>
    <r>
      <t>Agricultural (</t>
    </r>
    <r>
      <rPr>
        <sz val="11"/>
        <color rgb="FFFF0000"/>
        <rFont val="Trebuchet MS"/>
        <family val="2"/>
        <scheme val="minor"/>
      </rPr>
      <t>D, E</t>
    </r>
    <r>
      <rPr>
        <sz val="11"/>
        <rFont val="Trebuchet MS"/>
        <family val="2"/>
        <scheme val="minor"/>
      </rPr>
      <t>)</t>
    </r>
  </si>
  <si>
    <t>2020-0138</t>
  </si>
  <si>
    <t>Will interconnect w/ Ho‘ohana Solar</t>
  </si>
  <si>
    <t>Conditional Use Permit - Minor Amendment</t>
  </si>
  <si>
    <t xml:space="preserve">Not Applicable </t>
  </si>
  <si>
    <t>Environmental and Cultural Studies (Biologic Survey and Archeological Inventory Survey)</t>
  </si>
  <si>
    <t>Target Completion Q1 2021</t>
  </si>
  <si>
    <t>ETA Q3 2021</t>
  </si>
  <si>
    <t>Biologic Survey and AIS Pending</t>
  </si>
  <si>
    <t>Target submission June 2021</t>
  </si>
  <si>
    <t>ETA September 2021</t>
  </si>
  <si>
    <t>Target submission May 2021</t>
  </si>
  <si>
    <t xml:space="preserve">NPDES (Project Substation) </t>
  </si>
  <si>
    <t>Target submission December 2021</t>
  </si>
  <si>
    <t>ETA March 2022</t>
  </si>
  <si>
    <t>ETA August 2022</t>
  </si>
  <si>
    <t>AES West Oahu</t>
  </si>
  <si>
    <t>12.5MW + 50MWh</t>
  </si>
  <si>
    <t>Makakilo</t>
  </si>
  <si>
    <t>(1)9-2-002:007</t>
  </si>
  <si>
    <t>Agricultural (B,D,E)</t>
  </si>
  <si>
    <t>DLNR-CWRM</t>
  </si>
  <si>
    <t>Stream Channel Alteration Permit</t>
  </si>
  <si>
    <t>Archeological Inventory Study</t>
  </si>
  <si>
    <t>Submitted to SHPD 2/6/20</t>
  </si>
  <si>
    <t>19-07</t>
  </si>
  <si>
    <t>Accepted</t>
  </si>
  <si>
    <t>FEA accepted and filed on 07-08-20</t>
  </si>
  <si>
    <t>Approved 03/18/21</t>
  </si>
  <si>
    <t>Cultural Impact Assessment</t>
  </si>
  <si>
    <t>2020/SUP-6
SP21-411</t>
  </si>
  <si>
    <t>Planning Commission approved on 3/17/21</t>
  </si>
  <si>
    <t>ETA Q2 2021 (LUC approval)</t>
  </si>
  <si>
    <t>ETA Q2 2021</t>
  </si>
  <si>
    <t>Mililani I Solar</t>
  </si>
  <si>
    <t>Clearway</t>
  </si>
  <si>
    <t>39MW + 156MWh</t>
  </si>
  <si>
    <t>Mililani</t>
  </si>
  <si>
    <t>(1)9-4-005:090
(1)9-4-005:092
(1)9-4-005:096
(1)9-4-005:091</t>
  </si>
  <si>
    <t>Agricultural</t>
  </si>
  <si>
    <t>2021/MOD-8</t>
  </si>
  <si>
    <t>2019/MOD-108</t>
  </si>
  <si>
    <t>2019/MOD-107</t>
  </si>
  <si>
    <t>2017/MOD-46</t>
  </si>
  <si>
    <t>2017/MOD-42</t>
  </si>
  <si>
    <t>2014/MOD-95</t>
  </si>
  <si>
    <t>2014/W-14</t>
  </si>
  <si>
    <t>2014/CUP-23</t>
  </si>
  <si>
    <t>2010/CUP-10, Joint Development</t>
  </si>
  <si>
    <t>Summer/Fall 2019</t>
  </si>
  <si>
    <t xml:space="preserve">Submitted </t>
  </si>
  <si>
    <t>Waiawa Solar</t>
  </si>
  <si>
    <t>36MW + 144MWh</t>
  </si>
  <si>
    <t>Pearl City</t>
  </si>
  <si>
    <t>(1)9-6-004:024</t>
  </si>
  <si>
    <t xml:space="preserve">Urban        </t>
  </si>
  <si>
    <t>2020/W-31
2021/W-8(CK)</t>
  </si>
  <si>
    <t>2020/CUP-2</t>
  </si>
  <si>
    <t>2021/MOD-23</t>
  </si>
  <si>
    <t>Submitted November 2020</t>
  </si>
  <si>
    <t>Building Permit (PV/BESS Project)</t>
  </si>
  <si>
    <t>Submitted December 2020</t>
  </si>
  <si>
    <t>Submitted February 23, 2021</t>
  </si>
  <si>
    <t>Mountain View Solar</t>
  </si>
  <si>
    <t>7MW + 35MWh</t>
  </si>
  <si>
    <t>Wai‘anae</t>
  </si>
  <si>
    <t>(1)8-5-003:031
(1)8-5-003:032
(1)8-5-019:034</t>
  </si>
  <si>
    <t>Agricultural (C,E)</t>
  </si>
  <si>
    <t>Ho‘ohana Solar</t>
  </si>
  <si>
    <t>174 Power Global, Hanwha</t>
  </si>
  <si>
    <t>52MW + 218MWh</t>
  </si>
  <si>
    <t>(1)9-4-002:052</t>
  </si>
  <si>
    <t xml:space="preserve">Urban </t>
  </si>
  <si>
    <t>2014/CUP-76</t>
  </si>
  <si>
    <t>2014/W-67</t>
  </si>
  <si>
    <t>Accepted 2/19/15</t>
  </si>
  <si>
    <t>LOG#2014.03535
LOG#2014.04974
Doc#1502SL23</t>
  </si>
  <si>
    <t>AIS accepted 2/19/15</t>
  </si>
  <si>
    <t>2019/MOD-94</t>
  </si>
  <si>
    <t>2019/MOD-84</t>
  </si>
  <si>
    <t>2020/W-27</t>
  </si>
  <si>
    <t>2020/MOD-38</t>
  </si>
  <si>
    <t>Special Use Permit - Amendment</t>
  </si>
  <si>
    <t>30MW + 240MWh</t>
  </si>
  <si>
    <t>(1)9-6-004:024
(1)9-6-004:025
(1)9-6-004:026
(1)9-6-006:036</t>
  </si>
  <si>
    <t>Multiple   Zones</t>
  </si>
  <si>
    <t>Urban</t>
  </si>
  <si>
    <t>AIS accepted April 2015</t>
  </si>
  <si>
    <t>HRS 6E compliance to START 12/18/20</t>
  </si>
  <si>
    <t>HRS 6E compliance to targeted to END 4/9/21</t>
  </si>
  <si>
    <t>Biologic Survey and AIS pending</t>
  </si>
  <si>
    <t>120MW + 480MWh</t>
  </si>
  <si>
    <t>(1)9-2-001:020
(1)9-2-004:012
(1)9-2-004:006
(1)9-2-004:003
(1)9-2-004:010</t>
  </si>
  <si>
    <t>Agricultural (B,C,D,E)</t>
  </si>
  <si>
    <t>2020-0140</t>
  </si>
  <si>
    <t>2020/SUP-7</t>
  </si>
  <si>
    <t>Application submitted on 12/15/2020</t>
  </si>
  <si>
    <t>Application now being circulated for agency comments (due May 10).</t>
  </si>
  <si>
    <t>Environmental Studies to be Completed in 2021</t>
  </si>
  <si>
    <t>Archeological Assessment to be Submitted Q2 2021</t>
  </si>
  <si>
    <t>Target submission Q2 2021</t>
  </si>
  <si>
    <t>Need SHPD Concurrence Letter by June 2021 before Planning Commission meeting on SUP</t>
  </si>
  <si>
    <t>ETA September 2022</t>
  </si>
  <si>
    <t>2020/CUP-48</t>
  </si>
  <si>
    <t>NPDES</t>
  </si>
  <si>
    <t>Grey = Permit or Approval is Not Needed or has Been Approved or Completed</t>
  </si>
  <si>
    <t>O'ahu</t>
  </si>
  <si>
    <t>Maui</t>
  </si>
  <si>
    <t>All Islands</t>
  </si>
  <si>
    <t>Date</t>
  </si>
  <si>
    <t>Units installed</t>
  </si>
  <si>
    <t>MW 
(committed capacity)</t>
  </si>
  <si>
    <t>MW 
(PV capacity)</t>
  </si>
  <si>
    <t>MW Capacity (PV &amp; Committed)</t>
  </si>
  <si>
    <t>Incentives Paid</t>
  </si>
  <si>
    <t>Units verified or In-progress</t>
  </si>
  <si>
    <t>MW Verified or In-Progress</t>
  </si>
  <si>
    <t>Units Rejected</t>
  </si>
  <si>
    <t>Confirmed Units in Pipeline</t>
  </si>
  <si>
    <t>Confirmed MW in Pipeline</t>
  </si>
  <si>
    <t>Cumulative Installed</t>
  </si>
  <si>
    <t>Cumulative Incentives Issued</t>
  </si>
  <si>
    <t>Pending (in Progress &amp; Verified)</t>
  </si>
  <si>
    <t>Rejections</t>
  </si>
  <si>
    <t>Units</t>
  </si>
  <si>
    <t>MW (committed capacity)</t>
  </si>
  <si>
    <t>MW (PV capacity)</t>
  </si>
  <si>
    <t>Committed PV &amp; Battery</t>
  </si>
  <si>
    <t>$</t>
  </si>
  <si>
    <t>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</si>
</sst>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\-yy;@"/>
    <numFmt numFmtId="165" formatCode="[$-409]mmmm\ d\,\ yyyy;@"/>
    <numFmt numFmtId="166" formatCode="0.000%"/>
    <numFmt numFmtId="167" formatCode="[$-409]mmmm\-yy;@"/>
    <numFmt numFmtId="168" formatCode="[$-F800]dddd\,\ mmmm\ dd\,\ yyyy"/>
  </numFmts>
  <fonts count="31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2"/>
      <color theme="1"/>
      <name val="Trebuchet MS"/>
      <family val="2"/>
      <scheme val="minor"/>
    </font>
    <font>
      <b/>
      <sz val="11"/>
      <color rgb="FFFFFF00"/>
      <name val="Trebuchet MS"/>
      <family val="2"/>
      <scheme val="minor"/>
    </font>
    <font>
      <sz val="11"/>
      <name val="Trebuchet MS"/>
      <family val="2"/>
      <scheme val="minor"/>
    </font>
    <font>
      <sz val="10"/>
      <color theme="1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u/>
      <sz val="11"/>
      <name val="Trebuchet MS"/>
      <family val="2"/>
      <scheme val="minor"/>
    </font>
    <font>
      <sz val="11"/>
      <color rgb="FF0070C0"/>
      <name val="Trebuchet MS"/>
      <family val="2"/>
      <scheme val="minor"/>
    </font>
    <font>
      <u/>
      <sz val="11"/>
      <color rgb="FF0070C0"/>
      <name val="Trebuchet MS"/>
      <family val="2"/>
      <scheme val="minor"/>
    </font>
    <font>
      <sz val="11"/>
      <color rgb="FF000000"/>
      <name val="Trebuchet MS"/>
      <family val="2"/>
      <scheme val="minor"/>
    </font>
    <font>
      <b/>
      <sz val="14"/>
      <color theme="1"/>
      <name val="Trebuchet MS"/>
      <family val="2"/>
      <scheme val="minor"/>
    </font>
    <font>
      <sz val="11"/>
      <color rgb="FFFFFF00"/>
      <name val="Trebuchet MS"/>
      <family val="2"/>
      <scheme val="minor"/>
    </font>
    <font>
      <b/>
      <sz val="10"/>
      <color theme="1"/>
      <name val="Trebuchet MS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8"/>
      <name val="Trebuchet MS"/>
      <family val="2"/>
      <scheme val="minor"/>
    </font>
    <font>
      <sz val="9"/>
      <color theme="1"/>
      <name val="Trebuchet MS"/>
      <family val="2"/>
      <scheme val="minor"/>
    </font>
    <font>
      <sz val="8"/>
      <name val="Trebuchet MS"/>
      <family val="2"/>
    </font>
    <font>
      <sz val="8"/>
      <name val="Calibri"/>
      <family val="2"/>
    </font>
    <font>
      <u/>
      <sz val="8"/>
      <name val="Trebuchet MS"/>
      <family val="2"/>
      <scheme val="minor"/>
    </font>
    <font>
      <b/>
      <strike/>
      <sz val="14"/>
      <color theme="1"/>
      <name val="Trebuchet MS"/>
      <family val="2"/>
      <scheme val="minor"/>
    </font>
    <font>
      <strike/>
      <sz val="11"/>
      <color theme="1"/>
      <name val="Trebuchet MS"/>
      <family val="2"/>
      <scheme val="minor"/>
    </font>
    <font>
      <sz val="14"/>
      <color rgb="FF0000CC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2D2D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8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7" fillId="5" borderId="0" xfId="0" applyFont="1" applyFill="1"/>
    <xf numFmtId="0" fontId="0" fillId="3" borderId="0" xfId="0" applyFill="1" applyAlignment="1">
      <alignment vertical="center"/>
    </xf>
    <xf numFmtId="0" fontId="4" fillId="8" borderId="11" xfId="0" applyFont="1" applyFill="1" applyBorder="1" applyAlignment="1">
      <alignment vertical="top" wrapText="1"/>
    </xf>
    <xf numFmtId="0" fontId="4" fillId="8" borderId="11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0" fillId="6" borderId="11" xfId="0" applyFill="1" applyBorder="1" applyAlignment="1">
      <alignment vertical="top"/>
    </xf>
    <xf numFmtId="0" fontId="0" fillId="6" borderId="11" xfId="0" applyFill="1" applyBorder="1" applyAlignment="1">
      <alignment vertical="top" wrapText="1"/>
    </xf>
    <xf numFmtId="0" fontId="10" fillId="6" borderId="11" xfId="2" applyFont="1" applyFill="1" applyBorder="1" applyAlignment="1">
      <alignment vertical="top" wrapText="1"/>
    </xf>
    <xf numFmtId="0" fontId="7" fillId="6" borderId="11" xfId="0" applyFont="1" applyFill="1" applyBorder="1" applyAlignment="1">
      <alignment horizontal="left" vertical="top" wrapText="1"/>
    </xf>
    <xf numFmtId="1" fontId="7" fillId="6" borderId="11" xfId="0" applyNumberFormat="1" applyFont="1" applyFill="1" applyBorder="1" applyAlignment="1">
      <alignment horizontal="left" vertical="top"/>
    </xf>
    <xf numFmtId="0" fontId="0" fillId="6" borderId="0" xfId="0" applyFill="1" applyAlignment="1">
      <alignment vertical="top"/>
    </xf>
    <xf numFmtId="1" fontId="7" fillId="6" borderId="11" xfId="0" applyNumberFormat="1" applyFont="1" applyFill="1" applyBorder="1" applyAlignment="1">
      <alignment horizontal="left" vertical="top" wrapText="1"/>
    </xf>
    <xf numFmtId="0" fontId="10" fillId="9" borderId="11" xfId="2" applyFont="1" applyFill="1" applyBorder="1" applyAlignment="1">
      <alignment horizontal="left" vertical="top" wrapText="1"/>
    </xf>
    <xf numFmtId="0" fontId="0" fillId="6" borderId="11" xfId="0" applyFill="1" applyBorder="1" applyAlignment="1">
      <alignment horizontal="left" vertical="top" wrapText="1"/>
    </xf>
    <xf numFmtId="165" fontId="0" fillId="6" borderId="11" xfId="0" applyNumberFormat="1" applyFill="1" applyBorder="1" applyAlignment="1">
      <alignment horizontal="left" vertical="top"/>
    </xf>
    <xf numFmtId="0" fontId="0" fillId="5" borderId="0" xfId="0" applyFill="1" applyAlignment="1">
      <alignment vertical="top"/>
    </xf>
    <xf numFmtId="0" fontId="0" fillId="0" borderId="0" xfId="0" applyAlignment="1">
      <alignment vertical="top"/>
    </xf>
    <xf numFmtId="0" fontId="0" fillId="3" borderId="11" xfId="0" applyFill="1" applyBorder="1" applyAlignment="1">
      <alignment vertical="top"/>
    </xf>
    <xf numFmtId="0" fontId="0" fillId="3" borderId="11" xfId="0" applyFill="1" applyBorder="1" applyAlignment="1">
      <alignment vertical="top" wrapText="1"/>
    </xf>
    <xf numFmtId="0" fontId="0" fillId="3" borderId="11" xfId="0" applyFill="1" applyBorder="1" applyAlignment="1">
      <alignment horizontal="left" vertical="top" wrapText="1"/>
    </xf>
    <xf numFmtId="17" fontId="0" fillId="3" borderId="11" xfId="0" applyNumberForma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1" fontId="7" fillId="3" borderId="11" xfId="0" applyNumberFormat="1" applyFont="1" applyFill="1" applyBorder="1" applyAlignment="1">
      <alignment horizontal="left" vertical="top"/>
    </xf>
    <xf numFmtId="1" fontId="7" fillId="3" borderId="11" xfId="0" applyNumberFormat="1" applyFont="1" applyFill="1" applyBorder="1" applyAlignment="1">
      <alignment horizontal="left" vertical="top" wrapText="1"/>
    </xf>
    <xf numFmtId="165" fontId="0" fillId="3" borderId="11" xfId="0" applyNumberFormat="1" applyFill="1" applyBorder="1" applyAlignment="1">
      <alignment horizontal="left" vertical="top"/>
    </xf>
    <xf numFmtId="0" fontId="0" fillId="5" borderId="11" xfId="0" applyFill="1" applyBorder="1" applyAlignment="1">
      <alignment vertical="top"/>
    </xf>
    <xf numFmtId="0" fontId="0" fillId="5" borderId="11" xfId="0" applyFill="1" applyBorder="1" applyAlignment="1">
      <alignment vertical="top" wrapText="1"/>
    </xf>
    <xf numFmtId="0" fontId="0" fillId="5" borderId="11" xfId="0" applyFill="1" applyBorder="1" applyAlignment="1">
      <alignment horizontal="left" vertical="top" wrapText="1"/>
    </xf>
    <xf numFmtId="0" fontId="3" fillId="5" borderId="11" xfId="0" applyFont="1" applyFill="1" applyBorder="1" applyAlignment="1">
      <alignment vertical="top" wrapText="1"/>
    </xf>
    <xf numFmtId="17" fontId="0" fillId="5" borderId="11" xfId="0" applyNumberForma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0" fillId="6" borderId="11" xfId="2" applyFont="1" applyFill="1" applyBorder="1" applyAlignment="1">
      <alignment vertical="top"/>
    </xf>
    <xf numFmtId="166" fontId="0" fillId="6" borderId="11" xfId="1" applyNumberFormat="1" applyFont="1" applyFill="1" applyBorder="1" applyAlignment="1">
      <alignment horizontal="left" vertical="top" wrapText="1"/>
    </xf>
    <xf numFmtId="0" fontId="0" fillId="6" borderId="11" xfId="0" applyFill="1" applyBorder="1" applyAlignment="1">
      <alignment horizontal="left" vertical="top"/>
    </xf>
    <xf numFmtId="0" fontId="10" fillId="6" borderId="11" xfId="2" applyFont="1" applyFill="1" applyBorder="1" applyAlignment="1">
      <alignment horizontal="left" vertical="top" wrapText="1"/>
    </xf>
    <xf numFmtId="0" fontId="0" fillId="3" borderId="0" xfId="0" applyFill="1" applyAlignment="1">
      <alignment vertical="top"/>
    </xf>
    <xf numFmtId="0" fontId="7" fillId="5" borderId="11" xfId="0" applyFont="1" applyFill="1" applyBorder="1" applyAlignment="1">
      <alignment horizontal="left" vertical="top" wrapText="1"/>
    </xf>
    <xf numFmtId="166" fontId="0" fillId="0" borderId="11" xfId="1" applyNumberFormat="1" applyFont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/>
    </xf>
    <xf numFmtId="1" fontId="7" fillId="5" borderId="11" xfId="0" applyNumberFormat="1" applyFont="1" applyFill="1" applyBorder="1" applyAlignment="1">
      <alignment horizontal="left" vertical="top" wrapText="1"/>
    </xf>
    <xf numFmtId="165" fontId="0" fillId="5" borderId="11" xfId="0" applyNumberFormat="1" applyFill="1" applyBorder="1" applyAlignment="1">
      <alignment horizontal="left" vertical="top"/>
    </xf>
    <xf numFmtId="0" fontId="11" fillId="3" borderId="11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left" vertical="top" wrapText="1"/>
    </xf>
    <xf numFmtId="166" fontId="11" fillId="3" borderId="11" xfId="1" applyNumberFormat="1" applyFont="1" applyFill="1" applyBorder="1" applyAlignment="1">
      <alignment horizontal="left" vertical="top" wrapText="1"/>
    </xf>
    <xf numFmtId="1" fontId="11" fillId="3" borderId="11" xfId="0" applyNumberFormat="1" applyFont="1" applyFill="1" applyBorder="1" applyAlignment="1">
      <alignment horizontal="left" vertical="top"/>
    </xf>
    <xf numFmtId="0" fontId="11" fillId="3" borderId="11" xfId="0" applyFont="1" applyFill="1" applyBorder="1" applyAlignment="1">
      <alignment vertical="top"/>
    </xf>
    <xf numFmtId="1" fontId="11" fillId="3" borderId="11" xfId="0" applyNumberFormat="1" applyFont="1" applyFill="1" applyBorder="1" applyAlignment="1">
      <alignment horizontal="left" vertical="top" wrapText="1"/>
    </xf>
    <xf numFmtId="0" fontId="12" fillId="3" borderId="11" xfId="2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vertical="top" wrapText="1"/>
    </xf>
    <xf numFmtId="17" fontId="7" fillId="3" borderId="11" xfId="0" applyNumberFormat="1" applyFont="1" applyFill="1" applyBorder="1" applyAlignment="1">
      <alignment horizontal="left" vertical="top" wrapText="1"/>
    </xf>
    <xf numFmtId="165" fontId="7" fillId="3" borderId="11" xfId="0" applyNumberFormat="1" applyFont="1" applyFill="1" applyBorder="1" applyAlignment="1">
      <alignment horizontal="left" vertical="top" wrapText="1"/>
    </xf>
    <xf numFmtId="165" fontId="11" fillId="3" borderId="11" xfId="0" applyNumberFormat="1" applyFont="1" applyFill="1" applyBorder="1" applyAlignment="1">
      <alignment horizontal="left" vertical="top"/>
    </xf>
    <xf numFmtId="0" fontId="11" fillId="5" borderId="0" xfId="0" applyFont="1" applyFill="1" applyAlignment="1">
      <alignment vertical="top"/>
    </xf>
    <xf numFmtId="0" fontId="11" fillId="0" borderId="0" xfId="0" applyFont="1" applyAlignment="1">
      <alignment vertical="top"/>
    </xf>
    <xf numFmtId="166" fontId="0" fillId="3" borderId="11" xfId="1" applyNumberFormat="1" applyFont="1" applyFill="1" applyBorder="1" applyAlignment="1">
      <alignment horizontal="left" vertical="top" wrapText="1"/>
    </xf>
    <xf numFmtId="165" fontId="0" fillId="3" borderId="11" xfId="0" applyNumberFormat="1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vertical="top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0" fillId="0" borderId="11" xfId="0" applyNumberFormat="1" applyBorder="1" applyAlignment="1">
      <alignment horizontal="left" vertical="top" wrapText="1"/>
    </xf>
    <xf numFmtId="0" fontId="0" fillId="6" borderId="0" xfId="0" applyFill="1" applyAlignment="1">
      <alignment vertical="top" wrapText="1"/>
    </xf>
    <xf numFmtId="165" fontId="7" fillId="0" borderId="11" xfId="0" applyNumberFormat="1" applyFont="1" applyBorder="1" applyAlignment="1">
      <alignment horizontal="left" vertical="top" wrapText="1"/>
    </xf>
    <xf numFmtId="1" fontId="3" fillId="6" borderId="11" xfId="0" applyNumberFormat="1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vertical="top"/>
    </xf>
    <xf numFmtId="0" fontId="3" fillId="5" borderId="11" xfId="0" applyFont="1" applyFill="1" applyBorder="1" applyAlignment="1">
      <alignment horizontal="left" vertical="top" wrapText="1"/>
    </xf>
    <xf numFmtId="1" fontId="7" fillId="5" borderId="11" xfId="0" applyNumberFormat="1" applyFont="1" applyFill="1" applyBorder="1" applyAlignment="1">
      <alignment horizontal="left" vertical="top"/>
    </xf>
    <xf numFmtId="0" fontId="0" fillId="0" borderId="11" xfId="0" applyBorder="1" applyAlignment="1">
      <alignment vertical="top"/>
    </xf>
    <xf numFmtId="167" fontId="0" fillId="3" borderId="11" xfId="0" applyNumberFormat="1" applyFill="1" applyBorder="1" applyAlignment="1">
      <alignment horizontal="left" vertical="top" wrapText="1"/>
    </xf>
    <xf numFmtId="0" fontId="7" fillId="5" borderId="11" xfId="0" applyFont="1" applyFill="1" applyBorder="1" applyAlignment="1">
      <alignment vertical="top" wrapText="1"/>
    </xf>
    <xf numFmtId="14" fontId="0" fillId="3" borderId="11" xfId="0" applyNumberForma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10" borderId="3" xfId="0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6" xfId="0" applyFill="1" applyBorder="1" applyAlignment="1">
      <alignment horizontal="left" vertical="center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14" fillId="6" borderId="12" xfId="0" applyFont="1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0" fillId="6" borderId="14" xfId="0" applyFill="1" applyBorder="1" applyAlignment="1">
      <alignment vertical="center"/>
    </xf>
    <xf numFmtId="0" fontId="14" fillId="6" borderId="13" xfId="0" applyFont="1" applyFill="1" applyBorder="1" applyAlignment="1">
      <alignment vertical="center"/>
    </xf>
    <xf numFmtId="0" fontId="14" fillId="6" borderId="14" xfId="0" applyFont="1" applyFill="1" applyBorder="1" applyAlignment="1">
      <alignment vertical="center"/>
    </xf>
    <xf numFmtId="17" fontId="3" fillId="5" borderId="11" xfId="0" applyNumberFormat="1" applyFont="1" applyFill="1" applyBorder="1" applyAlignment="1">
      <alignment horizontal="left" vertical="top" wrapText="1"/>
    </xf>
    <xf numFmtId="0" fontId="3" fillId="5" borderId="0" xfId="0" applyFont="1" applyFill="1" applyAlignment="1">
      <alignment vertical="top"/>
    </xf>
    <xf numFmtId="14" fontId="13" fillId="0" borderId="11" xfId="0" applyNumberFormat="1" applyFont="1" applyBorder="1"/>
    <xf numFmtId="0" fontId="0" fillId="5" borderId="11" xfId="0" applyFill="1" applyBorder="1" applyAlignment="1">
      <alignment horizontal="left" vertical="center" wrapText="1"/>
    </xf>
    <xf numFmtId="167" fontId="13" fillId="0" borderId="11" xfId="0" applyNumberFormat="1" applyFont="1" applyBorder="1" applyAlignment="1">
      <alignment horizontal="left"/>
    </xf>
    <xf numFmtId="1" fontId="0" fillId="3" borderId="11" xfId="0" applyNumberFormat="1" applyFill="1" applyBorder="1" applyAlignment="1">
      <alignment horizontal="left" vertical="top" wrapText="1"/>
    </xf>
    <xf numFmtId="0" fontId="0" fillId="5" borderId="0" xfId="0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0" fillId="5" borderId="0" xfId="0" applyFill="1"/>
    <xf numFmtId="0" fontId="0" fillId="3" borderId="0" xfId="0" applyFill="1"/>
    <xf numFmtId="0" fontId="6" fillId="5" borderId="0" xfId="0" applyFont="1" applyFill="1" applyAlignment="1">
      <alignment horizontal="center" vertical="center"/>
    </xf>
    <xf numFmtId="0" fontId="7" fillId="3" borderId="11" xfId="0" applyFont="1" applyFill="1" applyBorder="1" applyAlignment="1">
      <alignment vertical="top"/>
    </xf>
    <xf numFmtId="0" fontId="2" fillId="2" borderId="3" xfId="0" applyFont="1" applyFill="1" applyBorder="1"/>
    <xf numFmtId="0" fontId="4" fillId="2" borderId="4" xfId="0" applyFont="1" applyFill="1" applyBorder="1"/>
    <xf numFmtId="0" fontId="0" fillId="2" borderId="5" xfId="0" applyFill="1" applyBorder="1"/>
    <xf numFmtId="0" fontId="0" fillId="2" borderId="0" xfId="0" applyFill="1"/>
    <xf numFmtId="0" fontId="0" fillId="2" borderId="4" xfId="0" applyFill="1" applyBorder="1"/>
    <xf numFmtId="0" fontId="0" fillId="2" borderId="6" xfId="0" applyFill="1" applyBorder="1"/>
    <xf numFmtId="0" fontId="0" fillId="5" borderId="2" xfId="0" applyFill="1" applyBorder="1" applyAlignment="1">
      <alignment vertical="center"/>
    </xf>
    <xf numFmtId="0" fontId="0" fillId="2" borderId="7" xfId="0" applyFill="1" applyBorder="1"/>
    <xf numFmtId="0" fontId="0" fillId="2" borderId="3" xfId="0" applyFill="1" applyBorder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5" borderId="0" xfId="0" applyFont="1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right" vertical="center"/>
    </xf>
    <xf numFmtId="0" fontId="0" fillId="5" borderId="1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6" xfId="0" applyFill="1" applyBorder="1"/>
    <xf numFmtId="0" fontId="7" fillId="3" borderId="0" xfId="0" applyFont="1" applyFill="1"/>
    <xf numFmtId="165" fontId="0" fillId="5" borderId="11" xfId="0" applyNumberFormat="1" applyFill="1" applyBorder="1" applyAlignment="1">
      <alignment horizontal="left" vertical="top" wrapText="1"/>
    </xf>
    <xf numFmtId="14" fontId="0" fillId="5" borderId="11" xfId="0" applyNumberForma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4" fillId="8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4" fillId="7" borderId="6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5" borderId="16" xfId="0" applyFill="1" applyBorder="1"/>
    <xf numFmtId="0" fontId="0" fillId="3" borderId="19" xfId="0" applyFill="1" applyBorder="1"/>
    <xf numFmtId="0" fontId="0" fillId="3" borderId="20" xfId="0" applyFill="1" applyBorder="1"/>
    <xf numFmtId="0" fontId="7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0" fillId="0" borderId="21" xfId="0" applyBorder="1"/>
    <xf numFmtId="0" fontId="0" fillId="3" borderId="22" xfId="0" applyFill="1" applyBorder="1"/>
    <xf numFmtId="0" fontId="6" fillId="3" borderId="2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0" fillId="3" borderId="25" xfId="0" applyFill="1" applyBorder="1"/>
    <xf numFmtId="0" fontId="7" fillId="3" borderId="25" xfId="0" applyFont="1" applyFill="1" applyBorder="1"/>
    <xf numFmtId="0" fontId="0" fillId="5" borderId="25" xfId="0" applyFill="1" applyBorder="1"/>
    <xf numFmtId="0" fontId="7" fillId="3" borderId="25" xfId="0" applyFont="1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5" borderId="27" xfId="0" applyFill="1" applyBorder="1"/>
    <xf numFmtId="0" fontId="0" fillId="2" borderId="26" xfId="0" applyFill="1" applyBorder="1"/>
    <xf numFmtId="0" fontId="0" fillId="2" borderId="25" xfId="0" applyFill="1" applyBorder="1"/>
    <xf numFmtId="0" fontId="0" fillId="3" borderId="27" xfId="0" applyFill="1" applyBorder="1"/>
    <xf numFmtId="0" fontId="0" fillId="3" borderId="25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/>
    <xf numFmtId="0" fontId="3" fillId="7" borderId="0" xfId="0" applyFont="1" applyFill="1"/>
    <xf numFmtId="0" fontId="7" fillId="3" borderId="29" xfId="0" applyFont="1" applyFill="1" applyBorder="1" applyAlignment="1">
      <alignment vertical="center"/>
    </xf>
    <xf numFmtId="0" fontId="0" fillId="3" borderId="29" xfId="0" applyFill="1" applyBorder="1"/>
    <xf numFmtId="0" fontId="0" fillId="3" borderId="30" xfId="0" applyFill="1" applyBorder="1"/>
    <xf numFmtId="0" fontId="0" fillId="0" borderId="29" xfId="0" applyBorder="1"/>
    <xf numFmtId="0" fontId="0" fillId="3" borderId="29" xfId="0" applyFill="1" applyBorder="1" applyAlignment="1">
      <alignment vertical="center"/>
    </xf>
    <xf numFmtId="0" fontId="0" fillId="3" borderId="29" xfId="0" applyFill="1" applyBorder="1" applyAlignment="1">
      <alignment horizontal="right" vertical="center"/>
    </xf>
    <xf numFmtId="0" fontId="0" fillId="11" borderId="4" xfId="0" applyFill="1" applyBorder="1"/>
    <xf numFmtId="0" fontId="0" fillId="11" borderId="6" xfId="0" applyFill="1" applyBorder="1"/>
    <xf numFmtId="0" fontId="4" fillId="11" borderId="3" xfId="0" applyFont="1" applyFill="1" applyBorder="1"/>
    <xf numFmtId="0" fontId="0" fillId="2" borderId="15" xfId="0" applyFill="1" applyBorder="1"/>
    <xf numFmtId="0" fontId="0" fillId="5" borderId="21" xfId="0" applyFill="1" applyBorder="1"/>
    <xf numFmtId="0" fontId="0" fillId="7" borderId="31" xfId="0" applyFill="1" applyBorder="1" applyAlignment="1">
      <alignment horizontal="center" vertical="center"/>
    </xf>
    <xf numFmtId="0" fontId="16" fillId="8" borderId="23" xfId="0" applyFont="1" applyFill="1" applyBorder="1" applyAlignment="1">
      <alignment vertical="center"/>
    </xf>
    <xf numFmtId="0" fontId="15" fillId="8" borderId="23" xfId="0" applyFont="1" applyFill="1" applyBorder="1" applyAlignment="1">
      <alignment horizontal="center" vertical="center"/>
    </xf>
    <xf numFmtId="0" fontId="0" fillId="8" borderId="24" xfId="0" applyFill="1" applyBorder="1"/>
    <xf numFmtId="0" fontId="16" fillId="8" borderId="3" xfId="0" applyFont="1" applyFill="1" applyBorder="1" applyAlignment="1">
      <alignment vertical="center"/>
    </xf>
    <xf numFmtId="0" fontId="0" fillId="8" borderId="4" xfId="0" applyFill="1" applyBorder="1"/>
    <xf numFmtId="0" fontId="0" fillId="5" borderId="22" xfId="0" applyFill="1" applyBorder="1"/>
    <xf numFmtId="0" fontId="3" fillId="5" borderId="22" xfId="0" applyFont="1" applyFill="1" applyBorder="1"/>
    <xf numFmtId="0" fontId="0" fillId="11" borderId="24" xfId="0" applyFill="1" applyBorder="1"/>
    <xf numFmtId="0" fontId="0" fillId="11" borderId="23" xfId="0" applyFill="1" applyBorder="1"/>
    <xf numFmtId="0" fontId="0" fillId="11" borderId="23" xfId="0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0" fillId="3" borderId="28" xfId="0" applyFill="1" applyBorder="1"/>
    <xf numFmtId="0" fontId="0" fillId="0" borderId="32" xfId="0" applyBorder="1"/>
    <xf numFmtId="0" fontId="0" fillId="3" borderId="17" xfId="0" applyFill="1" applyBorder="1"/>
    <xf numFmtId="0" fontId="0" fillId="5" borderId="32" xfId="0" applyFill="1" applyBorder="1"/>
    <xf numFmtId="0" fontId="3" fillId="3" borderId="25" xfId="0" applyFont="1" applyFill="1" applyBorder="1" applyAlignment="1">
      <alignment horizontal="left" vertical="center"/>
    </xf>
    <xf numFmtId="0" fontId="4" fillId="8" borderId="25" xfId="0" applyFont="1" applyFill="1" applyBorder="1" applyAlignment="1">
      <alignment vertical="center"/>
    </xf>
    <xf numFmtId="0" fontId="0" fillId="2" borderId="33" xfId="0" applyFill="1" applyBorder="1"/>
    <xf numFmtId="164" fontId="4" fillId="12" borderId="1" xfId="0" applyNumberFormat="1" applyFont="1" applyFill="1" applyBorder="1" applyAlignment="1">
      <alignment horizontal="center" vertical="center"/>
    </xf>
    <xf numFmtId="0" fontId="0" fillId="7" borderId="5" xfId="0" applyFill="1" applyBorder="1"/>
    <xf numFmtId="0" fontId="4" fillId="7" borderId="5" xfId="0" applyFont="1" applyFill="1" applyBorder="1"/>
    <xf numFmtId="0" fontId="0" fillId="0" borderId="11" xfId="0" applyBorder="1" applyAlignment="1">
      <alignment vertical="top" wrapText="1"/>
    </xf>
    <xf numFmtId="0" fontId="0" fillId="0" borderId="0" xfId="0" applyAlignment="1">
      <alignment horizontal="center"/>
    </xf>
    <xf numFmtId="0" fontId="0" fillId="5" borderId="34" xfId="0" applyFill="1" applyBorder="1" applyAlignment="1">
      <alignment vertical="top" wrapText="1"/>
    </xf>
    <xf numFmtId="14" fontId="0" fillId="5" borderId="34" xfId="0" applyNumberFormat="1" applyFill="1" applyBorder="1" applyAlignment="1">
      <alignment horizontal="left" vertical="top" wrapText="1"/>
    </xf>
    <xf numFmtId="0" fontId="0" fillId="5" borderId="34" xfId="0" applyFill="1" applyBorder="1" applyAlignment="1">
      <alignment vertical="top"/>
    </xf>
    <xf numFmtId="0" fontId="14" fillId="6" borderId="35" xfId="0" applyFont="1" applyFill="1" applyBorder="1" applyAlignment="1">
      <alignment vertical="center"/>
    </xf>
    <xf numFmtId="0" fontId="0" fillId="0" borderId="35" xfId="0" applyBorder="1" applyAlignment="1">
      <alignment vertical="top"/>
    </xf>
    <xf numFmtId="0" fontId="0" fillId="0" borderId="13" xfId="0" applyBorder="1" applyAlignment="1">
      <alignment vertical="top"/>
    </xf>
    <xf numFmtId="0" fontId="17" fillId="13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9" fillId="0" borderId="0" xfId="2" applyFill="1" applyBorder="1" applyAlignment="1">
      <alignment wrapText="1"/>
    </xf>
    <xf numFmtId="0" fontId="0" fillId="14" borderId="11" xfId="0" applyFill="1" applyBorder="1" applyAlignment="1">
      <alignment vertical="top" wrapText="1"/>
    </xf>
    <xf numFmtId="0" fontId="7" fillId="14" borderId="11" xfId="0" applyFont="1" applyFill="1" applyBorder="1" applyAlignment="1">
      <alignment horizontal="left" vertical="top" wrapText="1"/>
    </xf>
    <xf numFmtId="0" fontId="0" fillId="7" borderId="11" xfId="0" applyFill="1" applyBorder="1" applyAlignment="1">
      <alignment vertical="top" wrapText="1"/>
    </xf>
    <xf numFmtId="0" fontId="0" fillId="7" borderId="11" xfId="0" applyFill="1" applyBorder="1" applyAlignment="1">
      <alignment horizontal="left" vertical="top" wrapText="1"/>
    </xf>
    <xf numFmtId="0" fontId="7" fillId="7" borderId="11" xfId="0" applyFont="1" applyFill="1" applyBorder="1" applyAlignment="1">
      <alignment vertical="top" wrapText="1"/>
    </xf>
    <xf numFmtId="0" fontId="7" fillId="7" borderId="11" xfId="0" applyFont="1" applyFill="1" applyBorder="1" applyAlignment="1">
      <alignment horizontal="left" vertical="top" wrapText="1"/>
    </xf>
    <xf numFmtId="0" fontId="3" fillId="7" borderId="11" xfId="0" applyFont="1" applyFill="1" applyBorder="1" applyAlignment="1">
      <alignment horizontal="left" vertical="top" wrapText="1"/>
    </xf>
    <xf numFmtId="0" fontId="0" fillId="0" borderId="36" xfId="0" applyBorder="1" applyAlignment="1">
      <alignment vertical="top" wrapText="1"/>
    </xf>
    <xf numFmtId="0" fontId="0" fillId="0" borderId="36" xfId="0" applyBorder="1" applyAlignment="1">
      <alignment horizontal="left" vertical="top" wrapText="1"/>
    </xf>
    <xf numFmtId="0" fontId="0" fillId="7" borderId="36" xfId="0" applyFill="1" applyBorder="1" applyAlignment="1">
      <alignment vertical="top" wrapText="1"/>
    </xf>
    <xf numFmtId="0" fontId="0" fillId="7" borderId="36" xfId="0" applyFill="1" applyBorder="1" applyAlignment="1">
      <alignment horizontal="left" vertical="top" wrapText="1"/>
    </xf>
    <xf numFmtId="14" fontId="7" fillId="14" borderId="11" xfId="0" applyNumberFormat="1" applyFont="1" applyFill="1" applyBorder="1" applyAlignment="1">
      <alignment horizontal="left" vertical="top" wrapText="1"/>
    </xf>
    <xf numFmtId="14" fontId="13" fillId="3" borderId="11" xfId="0" applyNumberFormat="1" applyFont="1" applyFill="1" applyBorder="1"/>
    <xf numFmtId="14" fontId="14" fillId="6" borderId="14" xfId="0" applyNumberFormat="1" applyFont="1" applyFill="1" applyBorder="1" applyAlignment="1">
      <alignment vertical="center"/>
    </xf>
    <xf numFmtId="14" fontId="14" fillId="6" borderId="14" xfId="0" applyNumberFormat="1" applyFont="1" applyFill="1" applyBorder="1" applyAlignment="1">
      <alignment horizontal="right" vertical="center"/>
    </xf>
    <xf numFmtId="0" fontId="0" fillId="7" borderId="11" xfId="0" applyFill="1" applyBorder="1" applyAlignment="1">
      <alignment vertical="top"/>
    </xf>
    <xf numFmtId="0" fontId="0" fillId="3" borderId="36" xfId="0" applyFill="1" applyBorder="1" applyAlignment="1">
      <alignment horizontal="left" vertical="top" wrapText="1"/>
    </xf>
    <xf numFmtId="0" fontId="0" fillId="7" borderId="36" xfId="0" applyFill="1" applyBorder="1"/>
    <xf numFmtId="0" fontId="0" fillId="3" borderId="37" xfId="0" applyFill="1" applyBorder="1" applyAlignment="1">
      <alignment vertical="top" wrapText="1"/>
    </xf>
    <xf numFmtId="0" fontId="0" fillId="3" borderId="37" xfId="0" applyFill="1" applyBorder="1" applyAlignment="1">
      <alignment horizontal="left" vertical="top" wrapText="1"/>
    </xf>
    <xf numFmtId="16" fontId="18" fillId="0" borderId="0" xfId="0" applyNumberFormat="1" applyFont="1" applyAlignment="1">
      <alignment wrapText="1"/>
    </xf>
    <xf numFmtId="0" fontId="0" fillId="15" borderId="11" xfId="0" applyFill="1" applyBorder="1" applyAlignment="1">
      <alignment vertical="top" wrapText="1"/>
    </xf>
    <xf numFmtId="165" fontId="0" fillId="15" borderId="11" xfId="0" applyNumberFormat="1" applyFill="1" applyBorder="1" applyAlignment="1">
      <alignment horizontal="left" vertical="top" wrapText="1"/>
    </xf>
    <xf numFmtId="14" fontId="0" fillId="15" borderId="11" xfId="0" applyNumberFormat="1" applyFill="1" applyBorder="1" applyAlignment="1">
      <alignment horizontal="left" vertical="top" wrapText="1"/>
    </xf>
    <xf numFmtId="14" fontId="7" fillId="15" borderId="11" xfId="0" applyNumberFormat="1" applyFont="1" applyFill="1" applyBorder="1" applyAlignment="1">
      <alignment horizontal="left" vertical="top" wrapText="1"/>
    </xf>
    <xf numFmtId="0" fontId="22" fillId="0" borderId="11" xfId="0" applyFont="1" applyBorder="1" applyAlignment="1">
      <alignment horizontal="left" vertical="center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left" vertical="top" wrapText="1"/>
    </xf>
    <xf numFmtId="0" fontId="0" fillId="7" borderId="0" xfId="0" applyFill="1" applyAlignment="1">
      <alignment vertical="top"/>
    </xf>
    <xf numFmtId="0" fontId="0" fillId="16" borderId="11" xfId="0" applyFill="1" applyBorder="1" applyAlignment="1">
      <alignment vertical="top" wrapText="1"/>
    </xf>
    <xf numFmtId="0" fontId="7" fillId="16" borderId="11" xfId="0" applyFont="1" applyFill="1" applyBorder="1" applyAlignment="1">
      <alignment horizontal="left" vertical="top" wrapText="1"/>
    </xf>
    <xf numFmtId="15" fontId="7" fillId="16" borderId="11" xfId="0" applyNumberFormat="1" applyFont="1" applyFill="1" applyBorder="1" applyAlignment="1">
      <alignment horizontal="left" vertical="top" wrapText="1"/>
    </xf>
    <xf numFmtId="14" fontId="7" fillId="16" borderId="11" xfId="0" applyNumberFormat="1" applyFont="1" applyFill="1" applyBorder="1" applyAlignment="1">
      <alignment horizontal="left" vertical="top" wrapText="1"/>
    </xf>
    <xf numFmtId="0" fontId="7" fillId="0" borderId="11" xfId="0" applyFont="1" applyBorder="1" applyAlignment="1">
      <alignment vertical="top" wrapText="1"/>
    </xf>
    <xf numFmtId="0" fontId="7" fillId="0" borderId="11" xfId="0" applyFont="1" applyBorder="1" applyAlignment="1">
      <alignment horizontal="left" vertical="top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3" fillId="0" borderId="11" xfId="0" applyFont="1" applyBorder="1" applyAlignment="1">
      <alignment wrapText="1"/>
    </xf>
    <xf numFmtId="0" fontId="25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7" fillId="0" borderId="11" xfId="2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28" fillId="6" borderId="12" xfId="0" applyFont="1" applyFill="1" applyBorder="1" applyAlignment="1">
      <alignment vertical="center"/>
    </xf>
    <xf numFmtId="0" fontId="29" fillId="6" borderId="13" xfId="0" applyFont="1" applyFill="1" applyBorder="1" applyAlignment="1">
      <alignment vertical="center" wrapText="1"/>
    </xf>
    <xf numFmtId="0" fontId="29" fillId="6" borderId="14" xfId="0" applyFont="1" applyFill="1" applyBorder="1" applyAlignment="1">
      <alignment vertical="center" wrapText="1"/>
    </xf>
    <xf numFmtId="14" fontId="28" fillId="6" borderId="14" xfId="0" applyNumberFormat="1" applyFont="1" applyFill="1" applyBorder="1" applyAlignment="1">
      <alignment vertical="center" wrapText="1"/>
    </xf>
    <xf numFmtId="0" fontId="29" fillId="0" borderId="0" xfId="0" applyFont="1" applyAlignment="1">
      <alignment vertical="top"/>
    </xf>
    <xf numFmtId="0" fontId="20" fillId="0" borderId="11" xfId="2" applyFont="1" applyFill="1" applyBorder="1" applyAlignment="1">
      <alignment horizontal="left" vertical="center" wrapText="1"/>
    </xf>
    <xf numFmtId="0" fontId="20" fillId="18" borderId="11" xfId="2" applyFont="1" applyFill="1" applyBorder="1" applyAlignment="1">
      <alignment horizontal="left" vertical="center" wrapText="1"/>
    </xf>
    <xf numFmtId="0" fontId="20" fillId="17" borderId="11" xfId="2" applyFont="1" applyFill="1" applyBorder="1" applyAlignment="1">
      <alignment horizontal="left" vertical="center" wrapText="1"/>
    </xf>
    <xf numFmtId="168" fontId="0" fillId="3" borderId="0" xfId="0" applyNumberFormat="1" applyFill="1" applyAlignment="1">
      <alignment horizontal="left" vertical="top" wrapText="1"/>
    </xf>
    <xf numFmtId="167" fontId="13" fillId="3" borderId="11" xfId="0" applyNumberFormat="1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0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16" fontId="19" fillId="0" borderId="11" xfId="0" applyNumberFormat="1" applyFont="1" applyBorder="1" applyAlignment="1">
      <alignment horizontal="left" vertical="center" wrapText="1"/>
    </xf>
    <xf numFmtId="14" fontId="20" fillId="0" borderId="11" xfId="0" quotePrefix="1" applyNumberFormat="1" applyFont="1" applyBorder="1" applyAlignment="1">
      <alignment horizontal="left" vertical="center" wrapText="1"/>
    </xf>
    <xf numFmtId="15" fontId="21" fillId="0" borderId="11" xfId="0" quotePrefix="1" applyNumberFormat="1" applyFont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 vertical="center" wrapText="1"/>
    </xf>
    <xf numFmtId="0" fontId="22" fillId="0" borderId="11" xfId="0" quotePrefix="1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/>
    <xf numFmtId="15" fontId="22" fillId="0" borderId="11" xfId="0" applyNumberFormat="1" applyFont="1" applyBorder="1" applyAlignment="1">
      <alignment horizontal="left" vertical="center" wrapText="1"/>
    </xf>
    <xf numFmtId="0" fontId="22" fillId="19" borderId="11" xfId="0" applyFont="1" applyFill="1" applyBorder="1" applyAlignment="1">
      <alignment horizontal="left" vertical="center" wrapText="1"/>
    </xf>
    <xf numFmtId="0" fontId="22" fillId="0" borderId="11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/>
    <xf numFmtId="42" fontId="0" fillId="0" borderId="0" xfId="3" applyNumberFormat="1" applyFont="1"/>
    <xf numFmtId="44" fontId="0" fillId="0" borderId="0" xfId="3" applyFont="1"/>
    <xf numFmtId="3" fontId="0" fillId="0" borderId="0" xfId="0" applyNumberFormat="1"/>
    <xf numFmtId="44" fontId="0" fillId="0" borderId="0" xfId="0" applyNumberFormat="1"/>
    <xf numFmtId="0" fontId="0" fillId="20" borderId="0" xfId="0" applyFill="1" applyAlignment="1">
      <alignment horizontal="center" vertical="center" wrapText="1"/>
    </xf>
    <xf numFmtId="0" fontId="0" fillId="21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3D3D3"/>
      <color rgb="FFFF9797"/>
      <color rgb="FFF0FBE9"/>
      <color rgb="FF0000FF"/>
      <color rgb="FFFFFF66"/>
      <color rgb="FF0000CC"/>
      <color rgb="FF0033CC"/>
      <color rgb="FFFF66FF"/>
      <color rgb="FFF7DA9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Battery Bonus Program: Participants (Units)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Islands'!$B$2</c:f>
              <c:strCache>
                <c:ptCount val="1"/>
                <c:pt idx="0">
                  <c:v>Units installed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Islands'!$A$3:$A$39</c:f>
              <c:numCache>
                <c:formatCode>mmm\-yy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xVal>
          <c:yVal>
            <c:numRef>
              <c:f>'Battery Bonus, All Islands'!$B$3:$B$39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</c:v>
                </c:pt>
                <c:pt idx="6">
                  <c:v>62</c:v>
                </c:pt>
                <c:pt idx="7">
                  <c:v>114</c:v>
                </c:pt>
                <c:pt idx="8">
                  <c:v>178</c:v>
                </c:pt>
                <c:pt idx="9">
                  <c:v>235</c:v>
                </c:pt>
                <c:pt idx="10">
                  <c:v>303</c:v>
                </c:pt>
                <c:pt idx="11">
                  <c:v>390</c:v>
                </c:pt>
                <c:pt idx="12">
                  <c:v>464</c:v>
                </c:pt>
                <c:pt idx="13">
                  <c:v>586</c:v>
                </c:pt>
                <c:pt idx="14">
                  <c:v>651</c:v>
                </c:pt>
                <c:pt idx="15">
                  <c:v>686</c:v>
                </c:pt>
                <c:pt idx="16">
                  <c:v>822</c:v>
                </c:pt>
                <c:pt idx="17">
                  <c:v>942</c:v>
                </c:pt>
                <c:pt idx="18">
                  <c:v>1040</c:v>
                </c:pt>
                <c:pt idx="19">
                  <c:v>1156</c:v>
                </c:pt>
                <c:pt idx="20">
                  <c:v>1270</c:v>
                </c:pt>
                <c:pt idx="21">
                  <c:v>1572</c:v>
                </c:pt>
                <c:pt idx="22">
                  <c:v>1767</c:v>
                </c:pt>
                <c:pt idx="23">
                  <c:v>1945</c:v>
                </c:pt>
                <c:pt idx="24">
                  <c:v>2005</c:v>
                </c:pt>
                <c:pt idx="25">
                  <c:v>2259</c:v>
                </c:pt>
                <c:pt idx="26">
                  <c:v>2492</c:v>
                </c:pt>
                <c:pt idx="27">
                  <c:v>2647</c:v>
                </c:pt>
                <c:pt idx="28">
                  <c:v>2923</c:v>
                </c:pt>
                <c:pt idx="29">
                  <c:v>3226</c:v>
                </c:pt>
                <c:pt idx="30">
                  <c:v>3441</c:v>
                </c:pt>
                <c:pt idx="31">
                  <c:v>3906</c:v>
                </c:pt>
                <c:pt idx="32">
                  <c:v>4204</c:v>
                </c:pt>
                <c:pt idx="33">
                  <c:v>4480</c:v>
                </c:pt>
                <c:pt idx="34">
                  <c:v>4963</c:v>
                </c:pt>
                <c:pt idx="35">
                  <c:v>5045</c:v>
                </c:pt>
                <c:pt idx="36">
                  <c:v>5218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3C-4828-B619-294ED7175BF1}"/>
            </c:ext>
          </c:extLst>
        </c:ser>
        <c:ser>
          <c:idx val="1"/>
          <c:order val="1"/>
          <c:tx>
            <c:strRef>
              <c:f>'Battery Bonus, All Islands'!$G$2</c:f>
              <c:strCache>
                <c:ptCount val="1"/>
                <c:pt idx="0">
                  <c:v>Units verified or In-progress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Islands'!$A$3:$A$39</c:f>
              <c:numCache>
                <c:formatCode>mmm\-yy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xVal>
          <c:yVal>
            <c:numRef>
              <c:f>'Battery Bonus, All Islands'!$G$3:$G$39</c:f>
              <c:numCache>
                <c:formatCode>General</c:formatCode>
                <c:ptCount val="37"/>
                <c:pt idx="0">
                  <c:v>0</c:v>
                </c:pt>
                <c:pt idx="1">
                  <c:v>31</c:v>
                </c:pt>
                <c:pt idx="2">
                  <c:v>149</c:v>
                </c:pt>
                <c:pt idx="3">
                  <c:v>280</c:v>
                </c:pt>
                <c:pt idx="4">
                  <c:v>462</c:v>
                </c:pt>
                <c:pt idx="5">
                  <c:v>566</c:v>
                </c:pt>
                <c:pt idx="6">
                  <c:v>664</c:v>
                </c:pt>
                <c:pt idx="7">
                  <c:v>653</c:v>
                </c:pt>
                <c:pt idx="8">
                  <c:v>709</c:v>
                </c:pt>
                <c:pt idx="9">
                  <c:v>758</c:v>
                </c:pt>
                <c:pt idx="10">
                  <c:v>863</c:v>
                </c:pt>
                <c:pt idx="11">
                  <c:v>885</c:v>
                </c:pt>
                <c:pt idx="12">
                  <c:v>956</c:v>
                </c:pt>
                <c:pt idx="13">
                  <c:v>1098</c:v>
                </c:pt>
                <c:pt idx="14">
                  <c:v>1187</c:v>
                </c:pt>
                <c:pt idx="15">
                  <c:v>1361</c:v>
                </c:pt>
                <c:pt idx="16">
                  <c:v>1526</c:v>
                </c:pt>
                <c:pt idx="17">
                  <c:v>1617</c:v>
                </c:pt>
                <c:pt idx="18">
                  <c:v>1786</c:v>
                </c:pt>
                <c:pt idx="19">
                  <c:v>1955</c:v>
                </c:pt>
                <c:pt idx="20">
                  <c:v>2223</c:v>
                </c:pt>
                <c:pt idx="21">
                  <c:v>2262</c:v>
                </c:pt>
                <c:pt idx="22">
                  <c:v>2393</c:v>
                </c:pt>
                <c:pt idx="23">
                  <c:v>2487</c:v>
                </c:pt>
                <c:pt idx="24">
                  <c:v>2643</c:v>
                </c:pt>
                <c:pt idx="25">
                  <c:v>2663</c:v>
                </c:pt>
                <c:pt idx="26">
                  <c:v>2832</c:v>
                </c:pt>
                <c:pt idx="27">
                  <c:v>3158</c:v>
                </c:pt>
                <c:pt idx="28">
                  <c:v>3381</c:v>
                </c:pt>
                <c:pt idx="29">
                  <c:v>3389</c:v>
                </c:pt>
                <c:pt idx="30">
                  <c:v>3683</c:v>
                </c:pt>
                <c:pt idx="31">
                  <c:v>3499</c:v>
                </c:pt>
                <c:pt idx="32">
                  <c:v>3266</c:v>
                </c:pt>
                <c:pt idx="33">
                  <c:v>3032</c:v>
                </c:pt>
                <c:pt idx="34">
                  <c:v>2622</c:v>
                </c:pt>
                <c:pt idx="35">
                  <c:v>2575</c:v>
                </c:pt>
                <c:pt idx="36">
                  <c:v>2444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3C-4828-B619-294ED7175BF1}"/>
            </c:ext>
          </c:extLst>
        </c:ser>
        <c:ser>
          <c:idx val="2"/>
          <c:order val="2"/>
          <c:tx>
            <c:strRef>
              <c:f>'Battery Bonus, All Islands'!$J$2</c:f>
              <c:strCache>
                <c:ptCount val="1"/>
                <c:pt idx="0">
                  <c:v>Confirmed Units in Pipeline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Islands'!$A$3:$A$39</c:f>
              <c:numCache>
                <c:formatCode>mmm\-yy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xVal>
          <c:yVal>
            <c:numRef>
              <c:f>'Battery Bonus, All Islands'!$J$3:$J$39</c:f>
              <c:numCache>
                <c:formatCode>General</c:formatCode>
                <c:ptCount val="37"/>
                <c:pt idx="0">
                  <c:v>0</c:v>
                </c:pt>
                <c:pt idx="1">
                  <c:v>31</c:v>
                </c:pt>
                <c:pt idx="2">
                  <c:v>149</c:v>
                </c:pt>
                <c:pt idx="3">
                  <c:v>280</c:v>
                </c:pt>
                <c:pt idx="4">
                  <c:v>462</c:v>
                </c:pt>
                <c:pt idx="5">
                  <c:v>594</c:v>
                </c:pt>
                <c:pt idx="6">
                  <c:v>726</c:v>
                </c:pt>
                <c:pt idx="7">
                  <c:v>767</c:v>
                </c:pt>
                <c:pt idx="8">
                  <c:v>887</c:v>
                </c:pt>
                <c:pt idx="9">
                  <c:v>993</c:v>
                </c:pt>
                <c:pt idx="10">
                  <c:v>1166</c:v>
                </c:pt>
                <c:pt idx="11">
                  <c:v>1275</c:v>
                </c:pt>
                <c:pt idx="12">
                  <c:v>1420</c:v>
                </c:pt>
                <c:pt idx="13">
                  <c:v>1684</c:v>
                </c:pt>
                <c:pt idx="14">
                  <c:v>1838</c:v>
                </c:pt>
                <c:pt idx="15">
                  <c:v>2047</c:v>
                </c:pt>
                <c:pt idx="16">
                  <c:v>2348</c:v>
                </c:pt>
                <c:pt idx="17">
                  <c:v>2559</c:v>
                </c:pt>
                <c:pt idx="18">
                  <c:v>2826</c:v>
                </c:pt>
                <c:pt idx="19">
                  <c:v>3111</c:v>
                </c:pt>
                <c:pt idx="20">
                  <c:v>3493</c:v>
                </c:pt>
                <c:pt idx="21">
                  <c:v>3834</c:v>
                </c:pt>
                <c:pt idx="22">
                  <c:v>4160</c:v>
                </c:pt>
                <c:pt idx="23">
                  <c:v>4432</c:v>
                </c:pt>
                <c:pt idx="24">
                  <c:v>4648</c:v>
                </c:pt>
                <c:pt idx="25">
                  <c:v>4922</c:v>
                </c:pt>
                <c:pt idx="26">
                  <c:v>5324</c:v>
                </c:pt>
                <c:pt idx="27">
                  <c:v>5805</c:v>
                </c:pt>
                <c:pt idx="28">
                  <c:v>6304</c:v>
                </c:pt>
                <c:pt idx="29">
                  <c:v>6615</c:v>
                </c:pt>
                <c:pt idx="30">
                  <c:v>7124</c:v>
                </c:pt>
                <c:pt idx="31">
                  <c:v>7405</c:v>
                </c:pt>
                <c:pt idx="32">
                  <c:v>7470</c:v>
                </c:pt>
                <c:pt idx="33">
                  <c:v>7512</c:v>
                </c:pt>
                <c:pt idx="34">
                  <c:v>7585</c:v>
                </c:pt>
                <c:pt idx="35">
                  <c:v>7620</c:v>
                </c:pt>
                <c:pt idx="36">
                  <c:v>7662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3C-4828-B619-294ED7175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410856"/>
        <c:axId val="1149407248"/>
      </c:scatterChart>
      <c:valAx>
        <c:axId val="1149410856"/>
        <c:scaling>
          <c:orientation val="minMax"/>
          <c:max val="45550"/>
          <c:min val="4435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07248"/>
        <c:crosses val="autoZero"/>
        <c:crossBetween val="midCat"/>
      </c:valAx>
      <c:valAx>
        <c:axId val="114940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layout>
            <c:manualLayout>
              <c:xMode val="edge"/>
              <c:yMode val="edge"/>
              <c:x val="2.8473699636506828E-2"/>
              <c:y val="0.44716876016294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10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Battery Bonus Program: Capacity (MW)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Islands'!$E$2</c:f>
              <c:strCache>
                <c:ptCount val="1"/>
                <c:pt idx="0">
                  <c:v>MW Capacity (PV &amp; Committed)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Islands'!$A$3:$A$39</c:f>
              <c:numCache>
                <c:formatCode>mmm\-yy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xVal>
          <c:yVal>
            <c:numRef>
              <c:f>'Battery Bonus, All Islands'!$E$3:$E$39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0.20900000000000002</c:v>
                </c:pt>
                <c:pt idx="6">
                  <c:v>0.48099999999999998</c:v>
                </c:pt>
                <c:pt idx="7">
                  <c:v>1.1930000000000001</c:v>
                </c:pt>
                <c:pt idx="8">
                  <c:v>1.69</c:v>
                </c:pt>
                <c:pt idx="9">
                  <c:v>2.1799999999999997</c:v>
                </c:pt>
                <c:pt idx="10">
                  <c:v>2.88</c:v>
                </c:pt>
                <c:pt idx="11">
                  <c:v>3.71</c:v>
                </c:pt>
                <c:pt idx="12">
                  <c:v>4.45</c:v>
                </c:pt>
                <c:pt idx="13">
                  <c:v>5.41</c:v>
                </c:pt>
                <c:pt idx="14">
                  <c:v>6.04</c:v>
                </c:pt>
                <c:pt idx="15">
                  <c:v>6.35</c:v>
                </c:pt>
                <c:pt idx="16">
                  <c:v>7.57</c:v>
                </c:pt>
                <c:pt idx="17">
                  <c:v>9.09</c:v>
                </c:pt>
                <c:pt idx="18">
                  <c:v>10.0304</c:v>
                </c:pt>
                <c:pt idx="19">
                  <c:v>11.205399999999999</c:v>
                </c:pt>
                <c:pt idx="20">
                  <c:v>12.23</c:v>
                </c:pt>
                <c:pt idx="21">
                  <c:v>14.95</c:v>
                </c:pt>
                <c:pt idx="22">
                  <c:v>17.11</c:v>
                </c:pt>
                <c:pt idx="23">
                  <c:v>18.91</c:v>
                </c:pt>
                <c:pt idx="24">
                  <c:v>19.59</c:v>
                </c:pt>
                <c:pt idx="25">
                  <c:v>22.1</c:v>
                </c:pt>
                <c:pt idx="26">
                  <c:v>24.36</c:v>
                </c:pt>
                <c:pt idx="27">
                  <c:v>26.009999999999998</c:v>
                </c:pt>
                <c:pt idx="28">
                  <c:v>28.58</c:v>
                </c:pt>
                <c:pt idx="29">
                  <c:v>31.14</c:v>
                </c:pt>
                <c:pt idx="30">
                  <c:v>34.01</c:v>
                </c:pt>
                <c:pt idx="31">
                  <c:v>37.74</c:v>
                </c:pt>
                <c:pt idx="32">
                  <c:v>40.44</c:v>
                </c:pt>
                <c:pt idx="33">
                  <c:v>43.059999999999995</c:v>
                </c:pt>
                <c:pt idx="34">
                  <c:v>47.84</c:v>
                </c:pt>
                <c:pt idx="35">
                  <c:v>49.03</c:v>
                </c:pt>
                <c:pt idx="36">
                  <c:v>50.43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41-4D76-8B4E-4B0C1EA7B30A}"/>
            </c:ext>
          </c:extLst>
        </c:ser>
        <c:ser>
          <c:idx val="1"/>
          <c:order val="1"/>
          <c:tx>
            <c:strRef>
              <c:f>'Battery Bonus, All Islands'!$H$2</c:f>
              <c:strCache>
                <c:ptCount val="1"/>
                <c:pt idx="0">
                  <c:v>MW Verified or In-Progress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Islands'!$A$3:$A$39</c:f>
              <c:numCache>
                <c:formatCode>mmm\-yy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xVal>
          <c:yVal>
            <c:numRef>
              <c:f>'Battery Bonus, All Islands'!$H$3:$H$39</c:f>
              <c:numCache>
                <c:formatCode>General</c:formatCode>
                <c:ptCount val="37"/>
                <c:pt idx="0">
                  <c:v>0</c:v>
                </c:pt>
                <c:pt idx="1">
                  <c:v>0.16</c:v>
                </c:pt>
                <c:pt idx="2">
                  <c:v>0.77</c:v>
                </c:pt>
                <c:pt idx="3">
                  <c:v>1.5</c:v>
                </c:pt>
                <c:pt idx="4">
                  <c:v>2.71</c:v>
                </c:pt>
                <c:pt idx="5">
                  <c:v>3.33</c:v>
                </c:pt>
                <c:pt idx="6">
                  <c:v>3.9489999999999998</c:v>
                </c:pt>
                <c:pt idx="7">
                  <c:v>3.9179999999999997</c:v>
                </c:pt>
                <c:pt idx="8">
                  <c:v>4.2300000000000004</c:v>
                </c:pt>
                <c:pt idx="9">
                  <c:v>4.54</c:v>
                </c:pt>
                <c:pt idx="10">
                  <c:v>5.14</c:v>
                </c:pt>
                <c:pt idx="11">
                  <c:v>5.31</c:v>
                </c:pt>
                <c:pt idx="12">
                  <c:v>5.7200000000000006</c:v>
                </c:pt>
                <c:pt idx="13">
                  <c:v>6.64</c:v>
                </c:pt>
                <c:pt idx="14">
                  <c:v>7.45</c:v>
                </c:pt>
                <c:pt idx="15">
                  <c:v>7.1000000000000005</c:v>
                </c:pt>
                <c:pt idx="16">
                  <c:v>9.81</c:v>
                </c:pt>
                <c:pt idx="17">
                  <c:v>10.55</c:v>
                </c:pt>
                <c:pt idx="18">
                  <c:v>11.920000000000002</c:v>
                </c:pt>
                <c:pt idx="19">
                  <c:v>13.570000000000002</c:v>
                </c:pt>
                <c:pt idx="20">
                  <c:v>15.83</c:v>
                </c:pt>
                <c:pt idx="21">
                  <c:v>16.52</c:v>
                </c:pt>
                <c:pt idx="22">
                  <c:v>17.27</c:v>
                </c:pt>
                <c:pt idx="23">
                  <c:v>18.22</c:v>
                </c:pt>
                <c:pt idx="24">
                  <c:v>19.279999999999998</c:v>
                </c:pt>
                <c:pt idx="25">
                  <c:v>19.399999999999999</c:v>
                </c:pt>
                <c:pt idx="26">
                  <c:v>20.410000000000004</c:v>
                </c:pt>
                <c:pt idx="27">
                  <c:v>22.39</c:v>
                </c:pt>
                <c:pt idx="28">
                  <c:v>26.29</c:v>
                </c:pt>
                <c:pt idx="29">
                  <c:v>26.590000000000003</c:v>
                </c:pt>
                <c:pt idx="30">
                  <c:v>28.81</c:v>
                </c:pt>
                <c:pt idx="31">
                  <c:v>28.860000000000003</c:v>
                </c:pt>
                <c:pt idx="32">
                  <c:v>27.299999999999997</c:v>
                </c:pt>
                <c:pt idx="33">
                  <c:v>25.72</c:v>
                </c:pt>
                <c:pt idx="34">
                  <c:v>23.84</c:v>
                </c:pt>
                <c:pt idx="35">
                  <c:v>23.490000000000002</c:v>
                </c:pt>
                <c:pt idx="36">
                  <c:v>22.55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41-4D76-8B4E-4B0C1EA7B30A}"/>
            </c:ext>
          </c:extLst>
        </c:ser>
        <c:ser>
          <c:idx val="2"/>
          <c:order val="2"/>
          <c:tx>
            <c:strRef>
              <c:f>'Battery Bonus, All Islands'!$K$2</c:f>
              <c:strCache>
                <c:ptCount val="1"/>
                <c:pt idx="0">
                  <c:v>Confirmed MW in Pipeline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Islands'!$A$3:$A$39</c:f>
              <c:numCache>
                <c:formatCode>mmm\-yy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xVal>
          <c:yVal>
            <c:numRef>
              <c:f>'Battery Bonus, All Islands'!$K$3:$K$39</c:f>
              <c:numCache>
                <c:formatCode>General</c:formatCode>
                <c:ptCount val="37"/>
                <c:pt idx="0">
                  <c:v>0</c:v>
                </c:pt>
                <c:pt idx="1">
                  <c:v>0.16</c:v>
                </c:pt>
                <c:pt idx="2">
                  <c:v>0.77</c:v>
                </c:pt>
                <c:pt idx="3">
                  <c:v>1.5</c:v>
                </c:pt>
                <c:pt idx="4">
                  <c:v>2.71</c:v>
                </c:pt>
                <c:pt idx="5">
                  <c:v>3.5390000000000001</c:v>
                </c:pt>
                <c:pt idx="6">
                  <c:v>4.43</c:v>
                </c:pt>
                <c:pt idx="7">
                  <c:v>5.1109999999999998</c:v>
                </c:pt>
                <c:pt idx="8">
                  <c:v>5.92</c:v>
                </c:pt>
                <c:pt idx="9">
                  <c:v>6.72</c:v>
                </c:pt>
                <c:pt idx="10">
                  <c:v>8.02</c:v>
                </c:pt>
                <c:pt idx="11">
                  <c:v>9.02</c:v>
                </c:pt>
                <c:pt idx="12">
                  <c:v>10.170000000000002</c:v>
                </c:pt>
                <c:pt idx="13">
                  <c:v>12.05</c:v>
                </c:pt>
                <c:pt idx="14">
                  <c:v>13.49</c:v>
                </c:pt>
                <c:pt idx="15">
                  <c:v>13.45</c:v>
                </c:pt>
                <c:pt idx="16">
                  <c:v>17.380000000000003</c:v>
                </c:pt>
                <c:pt idx="17">
                  <c:v>19.64</c:v>
                </c:pt>
                <c:pt idx="18">
                  <c:v>21.950400000000002</c:v>
                </c:pt>
                <c:pt idx="19">
                  <c:v>24.775400000000001</c:v>
                </c:pt>
                <c:pt idx="20">
                  <c:v>28.060000000000002</c:v>
                </c:pt>
                <c:pt idx="21">
                  <c:v>31.47</c:v>
                </c:pt>
                <c:pt idx="22">
                  <c:v>34.379999999999995</c:v>
                </c:pt>
                <c:pt idx="23">
                  <c:v>37.129999999999995</c:v>
                </c:pt>
                <c:pt idx="24">
                  <c:v>38.869999999999997</c:v>
                </c:pt>
                <c:pt idx="25">
                  <c:v>41.5</c:v>
                </c:pt>
                <c:pt idx="26">
                  <c:v>44.77</c:v>
                </c:pt>
                <c:pt idx="27">
                  <c:v>48.4</c:v>
                </c:pt>
                <c:pt idx="28">
                  <c:v>54.87</c:v>
                </c:pt>
                <c:pt idx="29">
                  <c:v>57.730000000000004</c:v>
                </c:pt>
                <c:pt idx="30">
                  <c:v>62.819999999999993</c:v>
                </c:pt>
                <c:pt idx="31">
                  <c:v>66.600000000000009</c:v>
                </c:pt>
                <c:pt idx="32">
                  <c:v>67.739999999999995</c:v>
                </c:pt>
                <c:pt idx="33">
                  <c:v>68.78</c:v>
                </c:pt>
                <c:pt idx="34">
                  <c:v>71.680000000000007</c:v>
                </c:pt>
                <c:pt idx="35">
                  <c:v>72.52000000000001</c:v>
                </c:pt>
                <c:pt idx="36">
                  <c:v>72.98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241-4D76-8B4E-4B0C1EA7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539408"/>
        <c:axId val="1569543016"/>
      </c:scatterChart>
      <c:valAx>
        <c:axId val="1569539408"/>
        <c:scaling>
          <c:orientation val="minMax"/>
          <c:max val="45550"/>
          <c:min val="4435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543016"/>
        <c:crosses val="autoZero"/>
        <c:crossBetween val="midCat"/>
      </c:valAx>
      <c:valAx>
        <c:axId val="156954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539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Battery Bonus Program:  Incentives Paid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Islands'!$F$2</c:f>
              <c:strCache>
                <c:ptCount val="1"/>
                <c:pt idx="0">
                  <c:v>Incentives Paid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Islands'!$A$3:$A$39</c:f>
              <c:numCache>
                <c:formatCode>mmm\-yy</c:formatCode>
                <c:ptCount val="37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  <c:pt idx="24">
                  <c:v>45108</c:v>
                </c:pt>
                <c:pt idx="25">
                  <c:v>45139</c:v>
                </c:pt>
                <c:pt idx="26">
                  <c:v>45170</c:v>
                </c:pt>
                <c:pt idx="27">
                  <c:v>45200</c:v>
                </c:pt>
                <c:pt idx="28">
                  <c:v>45231</c:v>
                </c:pt>
                <c:pt idx="29">
                  <c:v>45261</c:v>
                </c:pt>
                <c:pt idx="30">
                  <c:v>45292</c:v>
                </c:pt>
                <c:pt idx="31">
                  <c:v>45323</c:v>
                </c:pt>
                <c:pt idx="32">
                  <c:v>45352</c:v>
                </c:pt>
                <c:pt idx="33">
                  <c:v>45383</c:v>
                </c:pt>
                <c:pt idx="34">
                  <c:v>45413</c:v>
                </c:pt>
                <c:pt idx="35">
                  <c:v>45444</c:v>
                </c:pt>
                <c:pt idx="36">
                  <c:v>45474</c:v>
                </c:pt>
              </c:numCache>
            </c:numRef>
          </c:xVal>
          <c:yVal>
            <c:numRef>
              <c:f>'Battery Bonus, All Islands'!$F$3:$F$39</c:f>
              <c:numCache>
                <c:formatCode>_("$"* #,##0_);_("$"* \(#,##0\);_("$"* "-"_);_(@_)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118150</c:v>
                </c:pt>
                <c:pt idx="6">
                  <c:v>261800</c:v>
                </c:pt>
                <c:pt idx="7">
                  <c:v>502554</c:v>
                </c:pt>
                <c:pt idx="8">
                  <c:v>756815</c:v>
                </c:pt>
                <c:pt idx="9">
                  <c:v>1014263</c:v>
                </c:pt>
                <c:pt idx="10">
                  <c:v>1395029</c:v>
                </c:pt>
                <c:pt idx="11">
                  <c:v>1864535</c:v>
                </c:pt>
                <c:pt idx="12">
                  <c:v>2277550</c:v>
                </c:pt>
                <c:pt idx="13">
                  <c:v>2960814</c:v>
                </c:pt>
                <c:pt idx="14">
                  <c:v>3304214</c:v>
                </c:pt>
                <c:pt idx="15">
                  <c:v>3468009</c:v>
                </c:pt>
                <c:pt idx="16">
                  <c:v>4185426</c:v>
                </c:pt>
                <c:pt idx="17">
                  <c:v>4925374</c:v>
                </c:pt>
                <c:pt idx="18">
                  <c:v>5413693</c:v>
                </c:pt>
                <c:pt idx="19">
                  <c:v>6017856</c:v>
                </c:pt>
                <c:pt idx="20">
                  <c:v>6572178</c:v>
                </c:pt>
                <c:pt idx="21">
                  <c:v>8136532</c:v>
                </c:pt>
                <c:pt idx="22">
                  <c:v>9348071</c:v>
                </c:pt>
                <c:pt idx="23">
                  <c:v>10367501</c:v>
                </c:pt>
                <c:pt idx="24">
                  <c:v>10746023</c:v>
                </c:pt>
                <c:pt idx="25">
                  <c:v>12262993</c:v>
                </c:pt>
                <c:pt idx="26">
                  <c:v>13624565</c:v>
                </c:pt>
                <c:pt idx="27">
                  <c:v>14680503</c:v>
                </c:pt>
                <c:pt idx="28">
                  <c:v>16146940</c:v>
                </c:pt>
                <c:pt idx="29">
                  <c:v>17652231</c:v>
                </c:pt>
                <c:pt idx="30">
                  <c:v>19017705</c:v>
                </c:pt>
                <c:pt idx="31">
                  <c:v>21744462</c:v>
                </c:pt>
                <c:pt idx="32">
                  <c:v>23318611</c:v>
                </c:pt>
                <c:pt idx="33">
                  <c:v>24927644</c:v>
                </c:pt>
                <c:pt idx="34">
                  <c:v>27579610</c:v>
                </c:pt>
                <c:pt idx="35">
                  <c:v>28076112</c:v>
                </c:pt>
                <c:pt idx="36">
                  <c:v>29103524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DC-40A4-9DA6-6487888F4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300024"/>
        <c:axId val="1209300352"/>
      </c:scatterChart>
      <c:valAx>
        <c:axId val="1209300024"/>
        <c:scaling>
          <c:orientation val="minMax"/>
          <c:max val="45550"/>
          <c:min val="4435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300352"/>
        <c:crosses val="autoZero"/>
        <c:crossBetween val="midCat"/>
      </c:valAx>
      <c:valAx>
        <c:axId val="120930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300024"/>
        <c:crosses val="autoZero"/>
        <c:crossBetween val="midCat"/>
        <c:majorUnit val="1000000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($) Millions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Battery Bonus Program: Participants (Units)</a:t>
            </a:r>
          </a:p>
          <a:p>
            <a:pPr>
              <a:defRPr/>
            </a:pPr>
            <a:r>
              <a:rPr lang="en-US" sz="1400" b="0" i="0" baseline="0">
                <a:effectLst/>
              </a:rPr>
              <a:t>Maui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Islands'!$B$2</c:f>
              <c:strCache>
                <c:ptCount val="1"/>
                <c:pt idx="0">
                  <c:v>Units installed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Islands'!$A$3:$A$26</c:f>
              <c:numCache>
                <c:formatCode>mmm\-yy</c:formatCode>
                <c:ptCount val="24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</c:numCache>
            </c:numRef>
          </c:xVal>
          <c:yVal>
            <c:numRef>
              <c:f>'Battery Bonus, All Islands'!$B$3:$B$26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</c:v>
                </c:pt>
                <c:pt idx="6">
                  <c:v>62</c:v>
                </c:pt>
                <c:pt idx="7">
                  <c:v>114</c:v>
                </c:pt>
                <c:pt idx="8">
                  <c:v>178</c:v>
                </c:pt>
                <c:pt idx="9">
                  <c:v>235</c:v>
                </c:pt>
                <c:pt idx="10">
                  <c:v>303</c:v>
                </c:pt>
                <c:pt idx="11">
                  <c:v>390</c:v>
                </c:pt>
                <c:pt idx="12">
                  <c:v>464</c:v>
                </c:pt>
                <c:pt idx="13">
                  <c:v>586</c:v>
                </c:pt>
                <c:pt idx="14">
                  <c:v>651</c:v>
                </c:pt>
                <c:pt idx="15">
                  <c:v>686</c:v>
                </c:pt>
                <c:pt idx="16">
                  <c:v>822</c:v>
                </c:pt>
                <c:pt idx="17">
                  <c:v>942</c:v>
                </c:pt>
                <c:pt idx="18">
                  <c:v>1040</c:v>
                </c:pt>
                <c:pt idx="19">
                  <c:v>1156</c:v>
                </c:pt>
                <c:pt idx="20">
                  <c:v>1270</c:v>
                </c:pt>
                <c:pt idx="21">
                  <c:v>1572</c:v>
                </c:pt>
                <c:pt idx="22">
                  <c:v>1767</c:v>
                </c:pt>
                <c:pt idx="23">
                  <c:v>1945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58-47A3-A8CD-E1AD0300874E}"/>
            </c:ext>
          </c:extLst>
        </c:ser>
        <c:ser>
          <c:idx val="1"/>
          <c:order val="1"/>
          <c:tx>
            <c:strRef>
              <c:f>'Battery Bonus, All Islands'!$G$2</c:f>
              <c:strCache>
                <c:ptCount val="1"/>
                <c:pt idx="0">
                  <c:v>Units verified or In-progress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Islands'!$A$3:$A$26</c:f>
              <c:numCache>
                <c:formatCode>mmm\-yy</c:formatCode>
                <c:ptCount val="24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</c:numCache>
            </c:numRef>
          </c:xVal>
          <c:yVal>
            <c:numRef>
              <c:f>'Battery Bonus, All Islands'!$G$3:$G$26</c:f>
              <c:numCache>
                <c:formatCode>General</c:formatCode>
                <c:ptCount val="24"/>
                <c:pt idx="0">
                  <c:v>0</c:v>
                </c:pt>
                <c:pt idx="1">
                  <c:v>31</c:v>
                </c:pt>
                <c:pt idx="2">
                  <c:v>149</c:v>
                </c:pt>
                <c:pt idx="3">
                  <c:v>280</c:v>
                </c:pt>
                <c:pt idx="4">
                  <c:v>462</c:v>
                </c:pt>
                <c:pt idx="5">
                  <c:v>566</c:v>
                </c:pt>
                <c:pt idx="6">
                  <c:v>664</c:v>
                </c:pt>
                <c:pt idx="7">
                  <c:v>653</c:v>
                </c:pt>
                <c:pt idx="8">
                  <c:v>709</c:v>
                </c:pt>
                <c:pt idx="9">
                  <c:v>758</c:v>
                </c:pt>
                <c:pt idx="10">
                  <c:v>863</c:v>
                </c:pt>
                <c:pt idx="11">
                  <c:v>885</c:v>
                </c:pt>
                <c:pt idx="12">
                  <c:v>956</c:v>
                </c:pt>
                <c:pt idx="13">
                  <c:v>1098</c:v>
                </c:pt>
                <c:pt idx="14">
                  <c:v>1187</c:v>
                </c:pt>
                <c:pt idx="15">
                  <c:v>1361</c:v>
                </c:pt>
                <c:pt idx="16">
                  <c:v>1526</c:v>
                </c:pt>
                <c:pt idx="17">
                  <c:v>1617</c:v>
                </c:pt>
                <c:pt idx="18">
                  <c:v>1786</c:v>
                </c:pt>
                <c:pt idx="19">
                  <c:v>1955</c:v>
                </c:pt>
                <c:pt idx="20">
                  <c:v>2223</c:v>
                </c:pt>
                <c:pt idx="21">
                  <c:v>2262</c:v>
                </c:pt>
                <c:pt idx="22">
                  <c:v>2393</c:v>
                </c:pt>
                <c:pt idx="23">
                  <c:v>2487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58-47A3-A8CD-E1AD0300874E}"/>
            </c:ext>
          </c:extLst>
        </c:ser>
        <c:ser>
          <c:idx val="2"/>
          <c:order val="2"/>
          <c:tx>
            <c:strRef>
              <c:f>'Battery Bonus, All Islands'!$J$2</c:f>
              <c:strCache>
                <c:ptCount val="1"/>
                <c:pt idx="0">
                  <c:v>Confirmed Units in Pipeline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Islands'!$A$3:$A$26</c:f>
              <c:numCache>
                <c:formatCode>mmm\-yy</c:formatCode>
                <c:ptCount val="24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</c:numCache>
            </c:numRef>
          </c:xVal>
          <c:yVal>
            <c:numRef>
              <c:f>'Battery Bonus, All Islands'!$J$3:$J$26</c:f>
              <c:numCache>
                <c:formatCode>General</c:formatCode>
                <c:ptCount val="24"/>
                <c:pt idx="0">
                  <c:v>0</c:v>
                </c:pt>
                <c:pt idx="1">
                  <c:v>31</c:v>
                </c:pt>
                <c:pt idx="2">
                  <c:v>149</c:v>
                </c:pt>
                <c:pt idx="3">
                  <c:v>280</c:v>
                </c:pt>
                <c:pt idx="4">
                  <c:v>462</c:v>
                </c:pt>
                <c:pt idx="5">
                  <c:v>594</c:v>
                </c:pt>
                <c:pt idx="6">
                  <c:v>726</c:v>
                </c:pt>
                <c:pt idx="7">
                  <c:v>767</c:v>
                </c:pt>
                <c:pt idx="8">
                  <c:v>887</c:v>
                </c:pt>
                <c:pt idx="9">
                  <c:v>993</c:v>
                </c:pt>
                <c:pt idx="10">
                  <c:v>1166</c:v>
                </c:pt>
                <c:pt idx="11">
                  <c:v>1275</c:v>
                </c:pt>
                <c:pt idx="12">
                  <c:v>1420</c:v>
                </c:pt>
                <c:pt idx="13">
                  <c:v>1684</c:v>
                </c:pt>
                <c:pt idx="14">
                  <c:v>1838</c:v>
                </c:pt>
                <c:pt idx="15">
                  <c:v>2047</c:v>
                </c:pt>
                <c:pt idx="16">
                  <c:v>2348</c:v>
                </c:pt>
                <c:pt idx="17">
                  <c:v>2559</c:v>
                </c:pt>
                <c:pt idx="18">
                  <c:v>2826</c:v>
                </c:pt>
                <c:pt idx="19">
                  <c:v>3111</c:v>
                </c:pt>
                <c:pt idx="20">
                  <c:v>3493</c:v>
                </c:pt>
                <c:pt idx="21">
                  <c:v>3834</c:v>
                </c:pt>
                <c:pt idx="22">
                  <c:v>4160</c:v>
                </c:pt>
                <c:pt idx="23">
                  <c:v>4432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58-47A3-A8CD-E1AD03008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410856"/>
        <c:axId val="1149407248"/>
      </c:scatterChart>
      <c:valAx>
        <c:axId val="1149410856"/>
        <c:scaling>
          <c:orientation val="minMax"/>
          <c:max val="4510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07248"/>
        <c:crosses val="autoZero"/>
        <c:crossBetween val="midCat"/>
      </c:valAx>
      <c:valAx>
        <c:axId val="114940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10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Battery Bonus Program:  Incentives Paid</a:t>
            </a:r>
          </a:p>
          <a:p>
            <a:pPr>
              <a:defRPr/>
            </a:pPr>
            <a:r>
              <a:rPr lang="en-US"/>
              <a:t>Maui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'Battery Bonus, All Islands'!$F$2</c:f>
              <c:strCache>
                <c:ptCount val="1"/>
                <c:pt idx="0">
                  <c:v>Incentives Paid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'Battery Bonus, All Islands'!$A$3:$A$26</c:f>
              <c:numCache>
                <c:formatCode>mmm\-yy</c:formatCode>
                <c:ptCount val="24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  <c:pt idx="20">
                  <c:v>44986</c:v>
                </c:pt>
                <c:pt idx="21">
                  <c:v>45017</c:v>
                </c:pt>
                <c:pt idx="22">
                  <c:v>45047</c:v>
                </c:pt>
                <c:pt idx="23">
                  <c:v>45078</c:v>
                </c:pt>
              </c:numCache>
            </c:numRef>
          </c:xVal>
          <c:yVal>
            <c:numRef>
              <c:f>'Battery Bonus, All Islands'!$F$3:$F$26</c:f>
              <c:numCache>
                <c:formatCode>_("$"* #,##0_);_("$"* \(#,##0\);_("$"* "-"_);_(@_)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118150</c:v>
                </c:pt>
                <c:pt idx="6">
                  <c:v>261800</c:v>
                </c:pt>
                <c:pt idx="7">
                  <c:v>502554</c:v>
                </c:pt>
                <c:pt idx="8">
                  <c:v>756815</c:v>
                </c:pt>
                <c:pt idx="9">
                  <c:v>1014263</c:v>
                </c:pt>
                <c:pt idx="10">
                  <c:v>1395029</c:v>
                </c:pt>
                <c:pt idx="11">
                  <c:v>1864535</c:v>
                </c:pt>
                <c:pt idx="12">
                  <c:v>2277550</c:v>
                </c:pt>
                <c:pt idx="13">
                  <c:v>2960814</c:v>
                </c:pt>
                <c:pt idx="14">
                  <c:v>3304214</c:v>
                </c:pt>
                <c:pt idx="15">
                  <c:v>3468009</c:v>
                </c:pt>
                <c:pt idx="16">
                  <c:v>4185426</c:v>
                </c:pt>
                <c:pt idx="17">
                  <c:v>4925374</c:v>
                </c:pt>
                <c:pt idx="18">
                  <c:v>5413693</c:v>
                </c:pt>
                <c:pt idx="19">
                  <c:v>6017856</c:v>
                </c:pt>
                <c:pt idx="20">
                  <c:v>6572178</c:v>
                </c:pt>
                <c:pt idx="21">
                  <c:v>8136532</c:v>
                </c:pt>
                <c:pt idx="22">
                  <c:v>9348071</c:v>
                </c:pt>
                <c:pt idx="23">
                  <c:v>10367501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BB-4631-B290-FD2D43A2E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300024"/>
        <c:axId val="1209300352"/>
      </c:scatterChart>
      <c:valAx>
        <c:axId val="1209300024"/>
        <c:scaling>
          <c:orientation val="minMax"/>
          <c:max val="45100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300352"/>
        <c:crosses val="autoZero"/>
        <c:crossBetween val="midCat"/>
      </c:valAx>
      <c:valAx>
        <c:axId val="120930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300024"/>
        <c:crosses val="autoZero"/>
        <c:crossBetween val="midCat"/>
        <c:majorUnit val="1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78440</xdr:colOff>
      <xdr:row>0</xdr:row>
      <xdr:rowOff>78441</xdr:rowOff>
    </xdr:from>
    <xdr:to>
      <xdr:col>7</xdr:col>
      <xdr:colOff>240152</xdr:colOff>
      <xdr:row>15</xdr:row>
      <xdr:rowOff>126281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35FAE8-BB3F-44DE-B01C-CFB97E3E1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205438</xdr:colOff>
      <xdr:row>18</xdr:row>
      <xdr:rowOff>48905</xdr:rowOff>
    </xdr:from>
    <xdr:to>
      <xdr:col>7</xdr:col>
      <xdr:colOff>338122</xdr:colOff>
      <xdr:row>33</xdr:row>
      <xdr:rowOff>124918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B6EBF61-141F-423B-A322-0359B4C92B84}"/>
            </a:ext>
            <a:ext uri="{147F2762-F138-4A5C-976F-8EAC2B608ADB}">
              <a16:predDERef xmlns:a16="http://schemas.microsoft.com/office/drawing/2014/main" pred="{EF86924A-2F9F-411B-98CF-8836B8EE7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399583</xdr:colOff>
      <xdr:row>0</xdr:row>
      <xdr:rowOff>206349</xdr:rowOff>
    </xdr:from>
    <xdr:to>
      <xdr:col>14</xdr:col>
      <xdr:colOff>238351</xdr:colOff>
      <xdr:row>16</xdr:row>
      <xdr:rowOff>41276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42556A8-E271-44D6-BB78-8B9CCB3AFB6C}"/>
            </a:ext>
            <a:ext uri="{147F2762-F138-4A5C-976F-8EAC2B608ADB}">
              <a16:predDERef xmlns:a16="http://schemas.microsoft.com/office/drawing/2014/main" pred="{E9B24EAB-76E5-43A6-9611-0227E8D16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426758</xdr:colOff>
      <xdr:row>37</xdr:row>
      <xdr:rowOff>31750</xdr:rowOff>
    </xdr:from>
    <xdr:to>
      <xdr:col>39</xdr:col>
      <xdr:colOff>73585</xdr:colOff>
      <xdr:row>52</xdr:row>
      <xdr:rowOff>49306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1ACD15-7B3F-4E24-A36E-6C6106B9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484841</xdr:colOff>
      <xdr:row>20</xdr:row>
      <xdr:rowOff>0</xdr:rowOff>
    </xdr:from>
    <xdr:to>
      <xdr:col>38</xdr:col>
      <xdr:colOff>454959</xdr:colOff>
      <xdr:row>36</xdr:row>
      <xdr:rowOff>12701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5797DC-FDBA-4828-8DD3-EE18629C4E9A}"/>
            </a:ext>
            <a:ext uri="{147F2762-F138-4A5C-976F-8EAC2B608ADB}">
              <a16:predDERef xmlns:a16="http://schemas.microsoft.com/office/drawing/2014/main" pred="{E9B24EAB-76E5-43A6-9611-0227E8D16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lenn, Scott J" id="{1E3D4EF5-FD6E-4A93-BF35-5CEFEB0D9053}" userId="S::scott.glenn@hawaii.gov::1402851f-7eff-4d80-84e7-7e28d6f2fceb" providerId="AD"/>
  <person displayName="Schafer, Monique M" id="{FF89967C-DA48-4203-86DC-0280491C6CB2}" userId="S::monique.m.schafer@hawaii.gov::a2b013ea-0105-453f-a88c-1985153c1a78" providerId="AD"/>
</personList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1-06-08T00:00:57.22" personId="{FF89967C-DA48-4203-86DC-0280491C6CB2}" id="{5A249890-CD72-4AF5-A498-627D022DA0CC}">
    <text>I changed this, since some of these are not "permitting" agencies, but are aproving entities - I think it is a difference worth distinguising to help stakeholders understand different roles.</text>
  </threadedComment>
  <threadedComment ref="C1" dT="2021-04-06T19:12:43.84" personId="{1E3D4EF5-FD6E-4A93-BF35-5CEFEB0D9053}" id="{6C80EAF2-E2DC-4A02-A398-5E4933D7D81C}">
    <text>Is there a column or way to indicate if a permit or approval is ministerial, discretionary, or unclear?</text>
  </threadedComment>
  <threadedComment ref="C49" dT="2021-06-09T21:46:14.64" personId="{FF89967C-DA48-4203-86DC-0280491C6CB2}" id="{1DEA89F9-D38B-40C6-93C2-FBB1804E1F4F}">
    <text>do you know if this is the permit to perfom work, or is this for application for occupancy and use? both? I am guessing it is for work?</text>
  </threadedComment>
  <threadedComment ref="E71" dT="2021-07-30T02:48:13.03" personId="{FF89967C-DA48-4203-86DC-0280491C6CB2}" id="{C4099DCB-D71D-40AB-885B-48DCF0D0BFC2}">
    <text>do they have a confirmatory letter?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" dT="2021-06-08T00:00:57.22" personId="{FF89967C-DA48-4203-86DC-0280491C6CB2}" id="{74A711E5-4138-4140-8FE0-24AF6FC36C6C}">
    <text>I changed this, since some of these are not "permitting" agencies, but are aproving entities - I think it is a difference worth distinguising to help stakeholders understand different roles.</text>
  </threadedComment>
  <threadedComment ref="C1" dT="2021-04-06T19:12:43.84" personId="{1E3D4EF5-FD6E-4A93-BF35-5CEFEB0D9053}" id="{EDFE4821-4F05-42B4-B739-27F8880C4A15}">
    <text>Is there a column or way to indicate if a permit or approval is ministerial, discretionary, or unclear?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1" dT="2021-04-06T19:12:43.84" personId="{1E3D4EF5-FD6E-4A93-BF35-5CEFEB0D9053}" id="{1BE9E035-F5E8-442A-B01D-4E1064C68B2A}">
    <text>Is there a column or way to indicate if a permit or approval is ministerial, discretionary, or unclear?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ms.puc.hawaii.gov/dms/dockets?action=details&amp;docketNumber=2018-0431" TargetMode="External"/><Relationship Id="rId13" Type="http://schemas.openxmlformats.org/officeDocument/2006/relationships/hyperlink" Target="https://dms.puc.hawaii.gov/dms/dockets?action=details&amp;docketNumber=2018-0435" TargetMode="External"/><Relationship Id="rId3" Type="http://schemas.openxmlformats.org/officeDocument/2006/relationships/hyperlink" Target="https://dms.puc.hawaii.gov/dms/dockets?action=details&amp;docketNumber=2020-0140" TargetMode="External"/><Relationship Id="rId7" Type="http://schemas.openxmlformats.org/officeDocument/2006/relationships/hyperlink" Target="https://dms.puc.hawaii.gov/dms/dockets?action=details&amp;docketNumber=2019-0050" TargetMode="External"/><Relationship Id="rId12" Type="http://schemas.openxmlformats.org/officeDocument/2006/relationships/hyperlink" Target="https://dms.puc.hawaii.gov/dms/dockets?action=details&amp;docketNumber=2018-0434" TargetMode="External"/><Relationship Id="rId2" Type="http://schemas.openxmlformats.org/officeDocument/2006/relationships/hyperlink" Target="https://aesdistributedenergy.com/west-oahu-homepage/" TargetMode="External"/><Relationship Id="rId16" Type="http://schemas.microsoft.com/office/2017/10/relationships/threadedComment" Target="../threadedComments/threadedComment3.xml"/><Relationship Id="rId1" Type="http://schemas.openxmlformats.org/officeDocument/2006/relationships/hyperlink" Target="https://kupehausolar.174powerglobal.com/project/" TargetMode="External"/><Relationship Id="rId6" Type="http://schemas.openxmlformats.org/officeDocument/2006/relationships/hyperlink" Target="https://dms.puc.hawaii.gov/dms/dockets?action=details&amp;docketNumber=2020-0138" TargetMode="External"/><Relationship Id="rId11" Type="http://schemas.openxmlformats.org/officeDocument/2006/relationships/hyperlink" Target="https://www.aes.com/aes-mountain-view-solar-storage-project" TargetMode="External"/><Relationship Id="rId5" Type="http://schemas.openxmlformats.org/officeDocument/2006/relationships/hyperlink" Target="https://dms.puc.hawaii.gov/dms/dockets?action=details&amp;docketNumber=2020-0139" TargetMode="External"/><Relationship Id="rId15" Type="http://schemas.openxmlformats.org/officeDocument/2006/relationships/comments" Target="../comments3.xml"/><Relationship Id="rId10" Type="http://schemas.openxmlformats.org/officeDocument/2006/relationships/hyperlink" Target="https://www.aes.com/waiawa-phase-2-solar-storage-project" TargetMode="External"/><Relationship Id="rId4" Type="http://schemas.openxmlformats.org/officeDocument/2006/relationships/hyperlink" Target="https://www.longroadenergy.com/mahi/" TargetMode="External"/><Relationship Id="rId9" Type="http://schemas.openxmlformats.org/officeDocument/2006/relationships/hyperlink" Target="https://dms.puc.hawaii.gov/dms/dockets?action=details&amp;docketNumber=2020-0137" TargetMode="External"/><Relationship Id="rId14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ongroadenergy.com/mahi/" TargetMode="External"/><Relationship Id="rId3" Type="http://schemas.openxmlformats.org/officeDocument/2006/relationships/hyperlink" Target="https://www.clearwayenergygroup.com/our-projects/development-projects/" TargetMode="External"/><Relationship Id="rId7" Type="http://schemas.openxmlformats.org/officeDocument/2006/relationships/hyperlink" Target="https://www.aes.com/waiawa-phase-2-solar-storage-project" TargetMode="External"/><Relationship Id="rId2" Type="http://schemas.openxmlformats.org/officeDocument/2006/relationships/hyperlink" Target="https://kapoleienergystorage.com/" TargetMode="External"/><Relationship Id="rId1" Type="http://schemas.openxmlformats.org/officeDocument/2006/relationships/hyperlink" Target="https://aesdistributedenergy.com/west-oahu-homepage/" TargetMode="External"/><Relationship Id="rId6" Type="http://schemas.openxmlformats.org/officeDocument/2006/relationships/hyperlink" Target="https://174powerglobal.com/hanwha-energy-extends-its-reach-across-the-pacific-with-hawaii-energy-project/" TargetMode="External"/><Relationship Id="rId5" Type="http://schemas.openxmlformats.org/officeDocument/2006/relationships/hyperlink" Target="https://www.aes.com/aes-mountain-view-solar-storage-project" TargetMode="External"/><Relationship Id="rId4" Type="http://schemas.openxmlformats.org/officeDocument/2006/relationships/hyperlink" Target="https://www.clearwayenergygroup.com/our-projects/development-projects/" TargetMode="External"/><Relationship Id="rId9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ongroadenergy.com/mahi/" TargetMode="External"/><Relationship Id="rId1" Type="http://schemas.openxmlformats.org/officeDocument/2006/relationships/hyperlink" Target="https://www.aes.com/waiawa-phase-2-solar-storage-projec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eha-web.doh.hawaii.gov/wpc-viewer/" TargetMode="External"/><Relationship Id="rId13" Type="http://schemas.openxmlformats.org/officeDocument/2006/relationships/hyperlink" Target="http://www.honoluludpp.org/ReportsNotices/DailyBulletins.aspx" TargetMode="External"/><Relationship Id="rId18" Type="http://schemas.openxmlformats.org/officeDocument/2006/relationships/hyperlink" Target="http://www.honoluludpp.org/ReportsNotices/DailyBulletins.aspx" TargetMode="External"/><Relationship Id="rId26" Type="http://schemas.microsoft.com/office/2017/10/relationships/threadedComment" Target="../threadedComments/threadedComment2.xml"/><Relationship Id="rId3" Type="http://schemas.openxmlformats.org/officeDocument/2006/relationships/hyperlink" Target="https://energy.hawaii.gov/renewable-energy-project-permitting-in-the-state-of-Hawai&#8216;i" TargetMode="External"/><Relationship Id="rId21" Type="http://schemas.openxmlformats.org/officeDocument/2006/relationships/hyperlink" Target="https://dlnr.hawaii.gov/occl/current-applications/" TargetMode="External"/><Relationship Id="rId7" Type="http://schemas.openxmlformats.org/officeDocument/2006/relationships/hyperlink" Target="http://eha-web.doh.hawaii.gov/wpc-viewer/" TargetMode="External"/><Relationship Id="rId12" Type="http://schemas.openxmlformats.org/officeDocument/2006/relationships/hyperlink" Target="http://www.honoluludpp.org/ReportsNotices/DailyBulletins.aspx" TargetMode="External"/><Relationship Id="rId17" Type="http://schemas.openxmlformats.org/officeDocument/2006/relationships/hyperlink" Target="http://www.honoluludpp.org/ReportsNotices/DailyBulletins.aspx" TargetMode="External"/><Relationship Id="rId25" Type="http://schemas.openxmlformats.org/officeDocument/2006/relationships/comments" Target="../comments2.xml"/><Relationship Id="rId2" Type="http://schemas.openxmlformats.org/officeDocument/2006/relationships/hyperlink" Target="https://hidot.hawaii.gov/highways/files/2020/03/Application-Permit-for-the-Occupancy-Use-of-State-Hwy-ROW.pdf" TargetMode="External"/><Relationship Id="rId16" Type="http://schemas.openxmlformats.org/officeDocument/2006/relationships/hyperlink" Target="http://www.honoluludpp.org/ReportsNotices/DailyBulletins.aspx" TargetMode="External"/><Relationship Id="rId20" Type="http://schemas.openxmlformats.org/officeDocument/2006/relationships/hyperlink" Target="https://dlnr.hawaii.gov/shpd/intake-and-determinations/" TargetMode="External"/><Relationship Id="rId1" Type="http://schemas.openxmlformats.org/officeDocument/2006/relationships/hyperlink" Target="https://hidot.hawaii.gov/highways/files/2020/03/Permit-to-Perform-Work-Upon-State-Hwys.pdf" TargetMode="External"/><Relationship Id="rId6" Type="http://schemas.openxmlformats.org/officeDocument/2006/relationships/hyperlink" Target="http://eha-web.doh.hawaii.gov/wpc-viewer/" TargetMode="External"/><Relationship Id="rId11" Type="http://schemas.openxmlformats.org/officeDocument/2006/relationships/hyperlink" Target="https://luc.hawaii.gov/" TargetMode="External"/><Relationship Id="rId24" Type="http://schemas.openxmlformats.org/officeDocument/2006/relationships/vmlDrawing" Target="../drawings/vmlDrawing2.vml"/><Relationship Id="rId5" Type="http://schemas.openxmlformats.org/officeDocument/2006/relationships/hyperlink" Target="http://eha-web.doh.hawaii.gov/wpc-viewer/" TargetMode="External"/><Relationship Id="rId15" Type="http://schemas.openxmlformats.org/officeDocument/2006/relationships/hyperlink" Target="http://www.honoluludpp.org/ReportsNotices/DailyBulletins.aspx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https://luc.hawaii.gov/" TargetMode="External"/><Relationship Id="rId19" Type="http://schemas.openxmlformats.org/officeDocument/2006/relationships/hyperlink" Target="http://www.honoluludpp.org/ReportsNotices/DailyBulletins.aspx" TargetMode="External"/><Relationship Id="rId4" Type="http://schemas.openxmlformats.org/officeDocument/2006/relationships/hyperlink" Target="http://eha-web.doh.hawaii.gov/wpc-viewer/" TargetMode="External"/><Relationship Id="rId9" Type="http://schemas.openxmlformats.org/officeDocument/2006/relationships/hyperlink" Target="http://oeqc2.doh.hawaii.gov/_layouts/15/start.aspx" TargetMode="External"/><Relationship Id="rId14" Type="http://schemas.openxmlformats.org/officeDocument/2006/relationships/hyperlink" Target="http://www.honoluludpp.org/ReportsNotices/DailyBulletins.aspx" TargetMode="External"/><Relationship Id="rId22" Type="http://schemas.openxmlformats.org/officeDocument/2006/relationships/hyperlink" Target="https://energy.hawaii.gov/wp-content/uploads/2015/07/Oahu-Waiver-Permit_March-2015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1E06-FF67-4B58-A70A-2493DF023FA3}">
  <dimension ref="A1"/>
  <sheetViews>
    <sheetView tabSelected="1" zoomScale="115" zoomScaleNormal="115" workbookViewId="0">
      <selection activeCell="R27" sqref="R27"/>
    </sheetView>
  </sheetViews>
  <sheetFormatPr defaultRowHeight="16.5" x14ac:dyDescent="0.3"/>
  <cols>
    <col min="2" max="2" width="9" customWidth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217C-49A8-4528-AA99-359DE6FDC953}">
  <dimension ref="A1:CR162"/>
  <sheetViews>
    <sheetView workbookViewId="0">
      <selection activeCell="C14" sqref="C14"/>
    </sheetView>
  </sheetViews>
  <sheetFormatPr defaultRowHeight="16.5" outlineLevelRow="1" x14ac:dyDescent="0.3"/>
  <cols>
    <col min="1" max="1" width="49.5" customWidth="1"/>
    <col min="2" max="2" width="3.125" customWidth="1"/>
    <col min="3" max="3" width="9.375" customWidth="1"/>
    <col min="4" max="5" width="7.75" customWidth="1"/>
    <col min="6" max="6" width="8.375" customWidth="1"/>
    <col min="7" max="66" width="7.75" customWidth="1"/>
    <col min="67" max="67" width="6.5" customWidth="1"/>
    <col min="68" max="85" width="7.75" customWidth="1"/>
    <col min="86" max="86" width="8.125" customWidth="1"/>
    <col min="87" max="95" width="7.75" customWidth="1"/>
  </cols>
  <sheetData>
    <row r="1" spans="1:96" ht="18.75" thickBot="1" x14ac:dyDescent="0.35">
      <c r="A1" s="1"/>
      <c r="B1" s="2"/>
      <c r="C1" s="3">
        <v>44337</v>
      </c>
      <c r="D1" s="3">
        <v>44337</v>
      </c>
      <c r="E1" s="3">
        <v>44337</v>
      </c>
      <c r="F1" s="3">
        <v>44337</v>
      </c>
      <c r="G1" s="195">
        <v>44368</v>
      </c>
      <c r="H1" s="195">
        <v>44368</v>
      </c>
      <c r="I1" s="195">
        <v>44368</v>
      </c>
      <c r="J1" s="195">
        <v>44368</v>
      </c>
      <c r="K1" s="3">
        <v>44398</v>
      </c>
      <c r="L1" s="3">
        <v>44398</v>
      </c>
      <c r="M1" s="3">
        <v>44398</v>
      </c>
      <c r="N1" s="3">
        <v>44398</v>
      </c>
      <c r="O1" s="195">
        <v>44429</v>
      </c>
      <c r="P1" s="195">
        <v>44429</v>
      </c>
      <c r="Q1" s="195">
        <v>44429</v>
      </c>
      <c r="R1" s="195">
        <v>44429</v>
      </c>
      <c r="S1" s="3">
        <v>44460</v>
      </c>
      <c r="T1" s="3">
        <v>44460</v>
      </c>
      <c r="U1" s="3">
        <v>44460</v>
      </c>
      <c r="V1" s="3">
        <v>44460</v>
      </c>
      <c r="W1" s="195">
        <v>44490</v>
      </c>
      <c r="X1" s="195">
        <v>44490</v>
      </c>
      <c r="Y1" s="195">
        <v>44490</v>
      </c>
      <c r="Z1" s="195">
        <v>44490</v>
      </c>
      <c r="AA1" s="3">
        <v>44521</v>
      </c>
      <c r="AB1" s="3">
        <v>44521</v>
      </c>
      <c r="AC1" s="3">
        <v>44521</v>
      </c>
      <c r="AD1" s="3">
        <v>44521</v>
      </c>
      <c r="AE1" s="195">
        <v>44551</v>
      </c>
      <c r="AF1" s="195">
        <v>44551</v>
      </c>
      <c r="AG1" s="195">
        <v>44551</v>
      </c>
      <c r="AH1" s="195">
        <v>44551</v>
      </c>
      <c r="AI1" s="4">
        <v>44583</v>
      </c>
      <c r="AJ1" s="4">
        <v>44583</v>
      </c>
      <c r="AK1" s="4">
        <v>44583</v>
      </c>
      <c r="AL1" s="4">
        <v>44583</v>
      </c>
      <c r="AM1" s="5">
        <v>44614</v>
      </c>
      <c r="AN1" s="5">
        <v>44614</v>
      </c>
      <c r="AO1" s="5">
        <v>44614</v>
      </c>
      <c r="AP1" s="5">
        <v>44614</v>
      </c>
      <c r="AQ1" s="4">
        <v>44642</v>
      </c>
      <c r="AR1" s="4">
        <v>44642</v>
      </c>
      <c r="AS1" s="4">
        <v>44642</v>
      </c>
      <c r="AT1" s="4">
        <v>44642</v>
      </c>
      <c r="AU1" s="5">
        <v>44673</v>
      </c>
      <c r="AV1" s="5">
        <v>44673</v>
      </c>
      <c r="AW1" s="5">
        <v>44673</v>
      </c>
      <c r="AX1" s="5">
        <v>44673</v>
      </c>
      <c r="AY1" s="4">
        <v>44703</v>
      </c>
      <c r="AZ1" s="4">
        <v>44703</v>
      </c>
      <c r="BA1" s="4">
        <v>44703</v>
      </c>
      <c r="BB1" s="4">
        <v>44703</v>
      </c>
      <c r="BC1" s="5">
        <v>44734</v>
      </c>
      <c r="BD1" s="5">
        <v>44734</v>
      </c>
      <c r="BE1" s="5">
        <v>44734</v>
      </c>
      <c r="BF1" s="5">
        <v>44734</v>
      </c>
      <c r="BG1" s="4">
        <v>44743</v>
      </c>
      <c r="BH1" s="4">
        <v>44743</v>
      </c>
      <c r="BI1" s="4">
        <v>44743</v>
      </c>
      <c r="BJ1" s="4">
        <v>44743</v>
      </c>
      <c r="BK1" s="5">
        <v>44774</v>
      </c>
      <c r="BL1" s="5">
        <v>44774</v>
      </c>
      <c r="BM1" s="5">
        <v>44774</v>
      </c>
      <c r="BN1" s="5">
        <v>44774</v>
      </c>
      <c r="BO1" s="6" t="s">
        <v>323</v>
      </c>
      <c r="BP1" s="4">
        <v>44805</v>
      </c>
      <c r="BQ1" s="4">
        <v>44805</v>
      </c>
      <c r="BR1" s="4">
        <v>44805</v>
      </c>
      <c r="BS1" s="4">
        <v>44805</v>
      </c>
      <c r="BT1" s="5">
        <v>44856</v>
      </c>
      <c r="BU1" s="5">
        <v>44856</v>
      </c>
      <c r="BV1" s="5">
        <v>44856</v>
      </c>
      <c r="BW1" s="5">
        <v>44856</v>
      </c>
      <c r="BX1" s="4">
        <v>44887</v>
      </c>
      <c r="BY1" s="4">
        <v>44887</v>
      </c>
      <c r="BZ1" s="4">
        <v>44887</v>
      </c>
      <c r="CA1" s="4">
        <v>44887</v>
      </c>
      <c r="CB1" s="5">
        <v>44896</v>
      </c>
      <c r="CC1" s="5">
        <v>44896</v>
      </c>
      <c r="CD1" s="5">
        <v>44896</v>
      </c>
      <c r="CE1" s="5">
        <v>44896</v>
      </c>
      <c r="CF1" s="4">
        <v>44949</v>
      </c>
      <c r="CG1" s="4">
        <v>44980</v>
      </c>
      <c r="CH1" s="4">
        <v>45008</v>
      </c>
      <c r="CI1" s="4">
        <v>45039</v>
      </c>
      <c r="CJ1" s="4">
        <v>45069</v>
      </c>
      <c r="CK1" s="4">
        <v>45100</v>
      </c>
      <c r="CL1" s="4">
        <v>45130</v>
      </c>
      <c r="CM1" s="4">
        <v>45161</v>
      </c>
      <c r="CN1" s="4">
        <v>45192</v>
      </c>
      <c r="CO1" s="4">
        <v>45222</v>
      </c>
      <c r="CP1" s="4">
        <v>45253</v>
      </c>
      <c r="CQ1" s="4">
        <v>45283</v>
      </c>
    </row>
    <row r="2" spans="1:96" ht="17.25" thickBot="1" x14ac:dyDescent="0.35">
      <c r="A2" s="111" t="s">
        <v>324</v>
      </c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7" t="s">
        <v>325</v>
      </c>
      <c r="BP2" s="196" t="s">
        <v>326</v>
      </c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5"/>
      <c r="CP2" s="115"/>
      <c r="CQ2" s="116"/>
    </row>
    <row r="3" spans="1:96" ht="17.25" outlineLevel="1" thickBot="1" x14ac:dyDescent="0.35">
      <c r="A3" s="117" t="s">
        <v>327</v>
      </c>
      <c r="B3" s="118"/>
      <c r="C3" s="135" t="s">
        <v>328</v>
      </c>
      <c r="BO3" s="106" t="s">
        <v>329</v>
      </c>
    </row>
    <row r="4" spans="1:96" ht="17.25" outlineLevel="1" thickBot="1" x14ac:dyDescent="0.35">
      <c r="A4" s="117" t="s">
        <v>330</v>
      </c>
      <c r="B4" s="119"/>
      <c r="C4" s="12" t="s">
        <v>331</v>
      </c>
      <c r="D4" s="120"/>
      <c r="E4" s="108"/>
      <c r="F4" s="134"/>
      <c r="G4" s="120"/>
      <c r="H4" s="120"/>
      <c r="I4" s="120"/>
      <c r="J4" s="120"/>
      <c r="K4" s="120"/>
      <c r="L4" s="120"/>
      <c r="M4" s="120"/>
      <c r="N4" s="120"/>
      <c r="O4" s="108"/>
      <c r="P4" s="108"/>
      <c r="Q4" s="108"/>
      <c r="R4" s="108"/>
      <c r="S4" s="108"/>
      <c r="T4" s="108"/>
      <c r="U4" s="108"/>
      <c r="V4" s="108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6" t="s">
        <v>332</v>
      </c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</row>
    <row r="5" spans="1:96" ht="17.25" outlineLevel="1" thickBot="1" x14ac:dyDescent="0.35">
      <c r="A5" s="117" t="s">
        <v>333</v>
      </c>
      <c r="B5" s="119"/>
      <c r="C5" s="135" t="s">
        <v>328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BO5" s="106"/>
    </row>
    <row r="6" spans="1:96" ht="17.25" outlineLevel="1" thickBot="1" x14ac:dyDescent="0.35">
      <c r="A6" s="117" t="s">
        <v>334</v>
      </c>
      <c r="B6" s="119"/>
      <c r="C6" s="135" t="s">
        <v>328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6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</row>
    <row r="7" spans="1:96" ht="17.25" outlineLevel="1" thickBot="1" x14ac:dyDescent="0.35">
      <c r="A7" s="117" t="s">
        <v>335</v>
      </c>
      <c r="B7" s="118"/>
      <c r="C7" s="135" t="s">
        <v>328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6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</row>
    <row r="8" spans="1:96" ht="17.25" outlineLevel="1" thickBot="1" x14ac:dyDescent="0.35">
      <c r="A8" s="117" t="s">
        <v>336</v>
      </c>
      <c r="B8" s="118"/>
      <c r="C8" s="193" t="s">
        <v>328</v>
      </c>
      <c r="D8" s="154"/>
      <c r="E8" s="154"/>
      <c r="F8" s="107"/>
      <c r="G8" s="154"/>
      <c r="H8" s="154"/>
      <c r="I8" s="154"/>
      <c r="J8" s="107"/>
      <c r="K8" s="107"/>
      <c r="L8" s="107"/>
      <c r="BO8" s="106"/>
    </row>
    <row r="9" spans="1:96" ht="18" outlineLevel="1" thickTop="1" thickBot="1" x14ac:dyDescent="0.35">
      <c r="A9" s="117" t="s">
        <v>337</v>
      </c>
      <c r="B9" s="194"/>
      <c r="C9" s="146" t="s">
        <v>338</v>
      </c>
      <c r="D9" s="192"/>
      <c r="E9" s="147"/>
      <c r="F9" s="147"/>
      <c r="G9" s="152"/>
      <c r="H9" s="152"/>
      <c r="I9" s="152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45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6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</row>
    <row r="10" spans="1:96" ht="18" outlineLevel="1" thickTop="1" thickBot="1" x14ac:dyDescent="0.35">
      <c r="A10" s="125" t="s">
        <v>339</v>
      </c>
      <c r="B10" s="114"/>
      <c r="C10" s="12" t="s">
        <v>340</v>
      </c>
      <c r="D10" s="108"/>
      <c r="E10" s="108"/>
      <c r="F10" s="108"/>
      <c r="G10" s="12"/>
      <c r="H10" s="108"/>
      <c r="I10" s="108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7"/>
      <c r="BO10" s="106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</row>
    <row r="11" spans="1:96" ht="17.25" outlineLevel="1" thickBot="1" x14ac:dyDescent="0.35">
      <c r="A11" s="117" t="s">
        <v>341</v>
      </c>
      <c r="B11" s="114"/>
      <c r="C11" s="12" t="s">
        <v>342</v>
      </c>
      <c r="D11" s="108"/>
      <c r="E11" s="108"/>
      <c r="F11" s="108"/>
      <c r="G11" s="104"/>
      <c r="H11" s="108"/>
      <c r="I11" s="108"/>
      <c r="J11" s="108"/>
      <c r="K11" s="108"/>
      <c r="L11" s="108"/>
      <c r="M11" s="108"/>
      <c r="N11" s="108"/>
      <c r="O11" s="12"/>
      <c r="P11" s="12"/>
      <c r="Q11" s="12"/>
      <c r="R11" s="12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7"/>
      <c r="BO11" s="106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</row>
    <row r="12" spans="1:96" ht="17.25" outlineLevel="1" thickBot="1" x14ac:dyDescent="0.35">
      <c r="A12" s="125" t="s">
        <v>343</v>
      </c>
      <c r="B12" s="114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23"/>
      <c r="T12" s="107"/>
      <c r="U12" s="107"/>
      <c r="V12" s="107"/>
      <c r="W12" s="12" t="s">
        <v>344</v>
      </c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37"/>
      <c r="AY12" s="108"/>
      <c r="AZ12" s="108"/>
      <c r="BA12" s="108"/>
      <c r="BB12" s="108"/>
      <c r="BC12" s="108"/>
      <c r="BD12" s="108"/>
      <c r="BE12" s="108"/>
      <c r="BF12" s="136"/>
      <c r="BG12" s="107"/>
      <c r="BH12" s="107"/>
      <c r="BI12" s="107"/>
      <c r="BJ12" s="107"/>
      <c r="BK12" s="107"/>
      <c r="BL12" s="107"/>
      <c r="BM12" s="107"/>
      <c r="BN12" s="107"/>
      <c r="BO12" s="106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</row>
    <row r="13" spans="1:96" ht="17.25" outlineLevel="1" thickBot="1" x14ac:dyDescent="0.35">
      <c r="A13" s="125" t="s">
        <v>345</v>
      </c>
      <c r="B13" s="114"/>
      <c r="C13" s="12" t="s">
        <v>346</v>
      </c>
      <c r="D13" s="108"/>
      <c r="E13" s="12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7"/>
      <c r="BH13" s="107"/>
      <c r="BI13" s="107"/>
      <c r="BJ13" s="107"/>
      <c r="BK13" s="107"/>
      <c r="BL13" s="107"/>
      <c r="BM13" s="107"/>
      <c r="BN13" s="107"/>
      <c r="BO13" s="106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</row>
    <row r="14" spans="1:96" ht="17.25" outlineLevel="1" thickBot="1" x14ac:dyDescent="0.35">
      <c r="A14" s="126" t="s">
        <v>347</v>
      </c>
      <c r="B14" s="114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2" t="s">
        <v>348</v>
      </c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3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6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</row>
    <row r="15" spans="1:96" ht="17.25" outlineLevel="1" thickBot="1" x14ac:dyDescent="0.35">
      <c r="A15" s="117" t="s">
        <v>349</v>
      </c>
      <c r="B15" s="114"/>
      <c r="AI15" s="12" t="s">
        <v>350</v>
      </c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3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6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</row>
    <row r="16" spans="1:96" ht="17.25" outlineLevel="1" thickBot="1" x14ac:dyDescent="0.35">
      <c r="A16" s="117" t="s">
        <v>351</v>
      </c>
      <c r="B16" s="114"/>
      <c r="AI16" s="12" t="s">
        <v>352</v>
      </c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3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6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23"/>
      <c r="CI16" s="107"/>
      <c r="CJ16" s="107"/>
      <c r="CK16" s="107"/>
      <c r="CL16" s="107"/>
      <c r="CM16" s="107"/>
    </row>
    <row r="17" spans="1:95" ht="17.25" outlineLevel="1" thickBot="1" x14ac:dyDescent="0.35">
      <c r="A17" s="117" t="s">
        <v>353</v>
      </c>
      <c r="B17" s="114"/>
      <c r="AI17" s="12" t="s">
        <v>354</v>
      </c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3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6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23"/>
      <c r="CL17" s="107"/>
      <c r="CM17" s="107"/>
    </row>
    <row r="18" spans="1:95" ht="17.25" outlineLevel="1" thickBot="1" x14ac:dyDescent="0.35">
      <c r="A18" s="125" t="s">
        <v>355</v>
      </c>
      <c r="B18" s="114"/>
      <c r="BO18" s="106"/>
      <c r="BP18" s="139" t="s">
        <v>326</v>
      </c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</row>
    <row r="19" spans="1:95" ht="17.25" thickBot="1" x14ac:dyDescent="0.35">
      <c r="A19" s="111" t="s">
        <v>356</v>
      </c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06"/>
      <c r="BP19" s="142"/>
      <c r="BQ19" s="113"/>
      <c r="BR19" s="113"/>
      <c r="BS19" s="113"/>
      <c r="BT19" s="113"/>
      <c r="BU19" s="113"/>
      <c r="BV19" s="113"/>
      <c r="BW19" s="113"/>
      <c r="BX19" s="196" t="s">
        <v>326</v>
      </c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5"/>
      <c r="CP19" s="115"/>
      <c r="CQ19" s="116"/>
    </row>
    <row r="20" spans="1:95" ht="17.25" outlineLevel="1" thickBot="1" x14ac:dyDescent="0.35">
      <c r="A20" s="117" t="s">
        <v>327</v>
      </c>
      <c r="B20" s="118"/>
      <c r="C20" s="135" t="s">
        <v>328</v>
      </c>
      <c r="D20" s="107"/>
      <c r="E20" s="107"/>
      <c r="F20" s="107"/>
      <c r="G20" s="107"/>
      <c r="H20" s="107"/>
      <c r="I20" s="107"/>
      <c r="J20" s="107"/>
      <c r="K20" s="107"/>
      <c r="L20" s="107"/>
      <c r="BO20" s="106"/>
    </row>
    <row r="21" spans="1:95" ht="17.25" outlineLevel="1" thickBot="1" x14ac:dyDescent="0.35">
      <c r="A21" s="117" t="s">
        <v>330</v>
      </c>
      <c r="B21" s="119"/>
      <c r="C21" s="12" t="s">
        <v>357</v>
      </c>
      <c r="D21" s="120"/>
      <c r="E21" s="108"/>
      <c r="F21" s="121"/>
      <c r="G21" s="120"/>
      <c r="H21" s="120"/>
      <c r="I21" s="120"/>
      <c r="J21" s="120"/>
      <c r="K21" s="120"/>
      <c r="L21" s="120"/>
      <c r="M21" s="120"/>
      <c r="N21" s="120"/>
      <c r="O21" s="108"/>
      <c r="P21" s="108"/>
      <c r="Q21" s="108"/>
      <c r="R21" s="108"/>
      <c r="S21" s="108"/>
      <c r="T21" s="108"/>
      <c r="U21" s="108"/>
      <c r="V21" s="108"/>
      <c r="BO21" s="106"/>
    </row>
    <row r="22" spans="1:95" ht="17.25" outlineLevel="1" thickBot="1" x14ac:dyDescent="0.35">
      <c r="A22" s="117" t="s">
        <v>333</v>
      </c>
      <c r="B22" s="119"/>
      <c r="C22" s="135" t="s">
        <v>328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BO22" s="106"/>
    </row>
    <row r="23" spans="1:95" ht="17.25" outlineLevel="1" thickBot="1" x14ac:dyDescent="0.35">
      <c r="A23" s="117" t="s">
        <v>334</v>
      </c>
      <c r="B23" s="119"/>
      <c r="C23" s="135" t="s">
        <v>328</v>
      </c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BO23" s="106"/>
    </row>
    <row r="24" spans="1:95" ht="17.25" outlineLevel="1" thickBot="1" x14ac:dyDescent="0.35">
      <c r="A24" s="117" t="s">
        <v>335</v>
      </c>
      <c r="B24" s="118"/>
      <c r="C24" s="135" t="s">
        <v>328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BO24" s="106"/>
    </row>
    <row r="25" spans="1:95" ht="17.25" outlineLevel="1" thickBot="1" x14ac:dyDescent="0.35">
      <c r="A25" s="117" t="s">
        <v>336</v>
      </c>
      <c r="B25" s="118"/>
      <c r="C25" s="135" t="s">
        <v>328</v>
      </c>
      <c r="D25" s="107"/>
      <c r="E25" s="107"/>
      <c r="F25" s="107"/>
      <c r="G25" s="107"/>
      <c r="H25" s="107"/>
      <c r="I25" s="107"/>
      <c r="J25" s="107"/>
      <c r="K25" s="107"/>
      <c r="L25" s="107"/>
      <c r="BO25" s="106"/>
    </row>
    <row r="26" spans="1:95" ht="17.25" outlineLevel="1" thickBot="1" x14ac:dyDescent="0.35">
      <c r="A26" s="117" t="s">
        <v>337</v>
      </c>
      <c r="B26" s="119"/>
      <c r="C26" s="135" t="s">
        <v>328</v>
      </c>
      <c r="D26" s="107"/>
      <c r="E26" s="107"/>
      <c r="F26" s="124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BO26" s="106"/>
    </row>
    <row r="27" spans="1:95" ht="17.25" outlineLevel="1" thickBot="1" x14ac:dyDescent="0.35">
      <c r="A27" s="125" t="s">
        <v>339</v>
      </c>
      <c r="B27" s="114"/>
      <c r="C27" s="12" t="s">
        <v>358</v>
      </c>
      <c r="D27" s="108"/>
      <c r="E27" s="108"/>
      <c r="F27" s="108"/>
      <c r="G27" s="105"/>
      <c r="H27" s="108"/>
      <c r="I27" s="108"/>
      <c r="J27" s="108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BO27" s="106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</row>
    <row r="28" spans="1:95" ht="17.25" outlineLevel="1" thickBot="1" x14ac:dyDescent="0.35">
      <c r="A28" s="117" t="s">
        <v>341</v>
      </c>
      <c r="B28" s="114"/>
      <c r="C28" s="12" t="s">
        <v>359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2"/>
      <c r="P28" s="12"/>
      <c r="Q28" s="12"/>
      <c r="R28" s="12"/>
      <c r="S28" s="108"/>
      <c r="T28" s="108"/>
      <c r="U28" s="108"/>
      <c r="V28" s="108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BO28" s="106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</row>
    <row r="29" spans="1:95" ht="17.25" outlineLevel="1" thickBot="1" x14ac:dyDescent="0.35">
      <c r="A29" s="125" t="s">
        <v>343</v>
      </c>
      <c r="B29" s="114"/>
      <c r="C29" s="12" t="s">
        <v>360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6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</row>
    <row r="30" spans="1:95" ht="17.25" outlineLevel="1" thickBot="1" x14ac:dyDescent="0.35">
      <c r="A30" s="125" t="s">
        <v>345</v>
      </c>
      <c r="B30" s="114"/>
      <c r="C30" s="12" t="s">
        <v>361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6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</row>
    <row r="31" spans="1:95" ht="17.25" outlineLevel="1" thickBot="1" x14ac:dyDescent="0.35">
      <c r="A31" s="126" t="s">
        <v>347</v>
      </c>
      <c r="B31" s="114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2" t="s">
        <v>362</v>
      </c>
      <c r="AJ31" s="108"/>
      <c r="AK31" s="108"/>
      <c r="AL31" s="108"/>
      <c r="AM31" s="108"/>
      <c r="AN31" s="12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27"/>
      <c r="BP31" s="108"/>
      <c r="BQ31" s="108"/>
      <c r="BR31" s="108"/>
      <c r="BS31" s="108"/>
      <c r="BT31" s="108"/>
      <c r="BU31" s="108"/>
      <c r="BV31" s="108"/>
      <c r="BW31" s="108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</row>
    <row r="32" spans="1:95" ht="17.25" outlineLevel="1" thickBot="1" x14ac:dyDescent="0.35">
      <c r="A32" s="117" t="s">
        <v>349</v>
      </c>
      <c r="B32" s="114"/>
      <c r="C32" s="107"/>
      <c r="D32" s="107"/>
      <c r="E32" s="107"/>
      <c r="F32" s="107"/>
      <c r="G32" s="107"/>
      <c r="H32" s="107"/>
      <c r="I32" s="107"/>
      <c r="J32" s="107"/>
      <c r="AI32" s="12" t="s">
        <v>363</v>
      </c>
      <c r="AJ32" s="108"/>
      <c r="AK32" s="108"/>
      <c r="AL32" s="108"/>
      <c r="AM32" s="108"/>
      <c r="AN32" s="108"/>
      <c r="AO32" s="108"/>
      <c r="AP32" s="108"/>
      <c r="AQ32" s="108"/>
      <c r="AR32" s="108"/>
      <c r="AS32" s="12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27"/>
      <c r="BP32" s="108"/>
      <c r="BQ32" s="108"/>
      <c r="BR32" s="108"/>
      <c r="BS32" s="108"/>
      <c r="BT32" s="108"/>
      <c r="BU32" s="108"/>
      <c r="BV32" s="108"/>
      <c r="BW32" s="108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</row>
    <row r="33" spans="1:95" ht="17.25" outlineLevel="1" thickBot="1" x14ac:dyDescent="0.35">
      <c r="A33" s="117" t="s">
        <v>351</v>
      </c>
      <c r="B33" s="114"/>
      <c r="C33" s="107"/>
      <c r="D33" s="107"/>
      <c r="E33" s="107"/>
      <c r="F33" s="107"/>
      <c r="G33" s="107"/>
      <c r="H33" s="107"/>
      <c r="I33" s="107"/>
      <c r="J33" s="107"/>
      <c r="AI33" s="12" t="s">
        <v>364</v>
      </c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4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27"/>
      <c r="BP33" s="108"/>
      <c r="BQ33" s="108"/>
      <c r="BR33" s="108"/>
      <c r="BS33" s="108"/>
      <c r="BT33" s="108"/>
      <c r="BU33" s="108"/>
      <c r="BV33" s="108"/>
      <c r="BW33" s="108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23"/>
      <c r="CI33" s="107"/>
      <c r="CJ33" s="107"/>
      <c r="CK33" s="107"/>
      <c r="CL33" s="107"/>
      <c r="CM33" s="107"/>
    </row>
    <row r="34" spans="1:95" ht="17.25" outlineLevel="1" thickBot="1" x14ac:dyDescent="0.35">
      <c r="A34" s="117" t="s">
        <v>353</v>
      </c>
      <c r="B34" s="114"/>
      <c r="C34" s="107"/>
      <c r="D34" s="107"/>
      <c r="E34" s="107"/>
      <c r="F34" s="107"/>
      <c r="G34" s="107"/>
      <c r="H34" s="107"/>
      <c r="I34" s="107"/>
      <c r="J34" s="107"/>
      <c r="AI34" s="12" t="s">
        <v>365</v>
      </c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4"/>
      <c r="BH34" s="108"/>
      <c r="BI34" s="108"/>
      <c r="BJ34" s="108"/>
      <c r="BK34" s="108"/>
      <c r="BL34" s="108"/>
      <c r="BM34" s="108"/>
      <c r="BN34" s="108"/>
      <c r="BO34" s="127"/>
      <c r="BP34" s="108"/>
      <c r="BQ34" s="108"/>
      <c r="BR34" s="108"/>
      <c r="BS34" s="108"/>
      <c r="BT34" s="108"/>
      <c r="BU34" s="108"/>
      <c r="BV34" s="108"/>
      <c r="BW34" s="108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23"/>
      <c r="CL34" s="107"/>
      <c r="CM34" s="107"/>
    </row>
    <row r="35" spans="1:95" ht="17.25" outlineLevel="1" thickBot="1" x14ac:dyDescent="0.35">
      <c r="A35" s="125" t="s">
        <v>355</v>
      </c>
      <c r="B35" s="114"/>
      <c r="BH35" s="180" t="s">
        <v>366</v>
      </c>
      <c r="BI35" s="181"/>
      <c r="BJ35" s="130"/>
      <c r="BO35" s="128"/>
      <c r="BP35" s="103"/>
      <c r="BQ35" s="107"/>
      <c r="BR35" s="107"/>
      <c r="BS35" s="107"/>
      <c r="BT35" s="107"/>
      <c r="BU35" s="107"/>
      <c r="BV35" s="107"/>
      <c r="BW35" s="107"/>
      <c r="BX35" s="141" t="s">
        <v>326</v>
      </c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</row>
    <row r="36" spans="1:95" ht="17.25" thickBot="1" x14ac:dyDescent="0.35">
      <c r="A36" s="111" t="s">
        <v>367</v>
      </c>
      <c r="B36" s="112"/>
      <c r="C36" s="114"/>
      <c r="D36" s="114"/>
      <c r="E36" s="114"/>
      <c r="F36" s="114"/>
      <c r="G36" s="114"/>
      <c r="H36" s="114"/>
      <c r="I36" s="114"/>
      <c r="J36" s="114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28"/>
      <c r="BP36" s="142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97" t="s">
        <v>326</v>
      </c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5"/>
      <c r="CP36" s="115"/>
      <c r="CQ36" s="116"/>
    </row>
    <row r="37" spans="1:95" ht="17.25" outlineLevel="1" thickBot="1" x14ac:dyDescent="0.35">
      <c r="A37" s="117" t="s">
        <v>327</v>
      </c>
      <c r="B37" s="118"/>
      <c r="C37" s="135" t="s">
        <v>328</v>
      </c>
      <c r="BO37" s="128"/>
    </row>
    <row r="38" spans="1:95" ht="17.25" outlineLevel="1" thickBot="1" x14ac:dyDescent="0.35">
      <c r="A38" s="117" t="s">
        <v>330</v>
      </c>
      <c r="B38" s="119"/>
      <c r="C38" s="12" t="s">
        <v>368</v>
      </c>
      <c r="D38" s="120"/>
      <c r="E38" s="108"/>
      <c r="F38" s="121"/>
      <c r="G38" s="120"/>
      <c r="H38" s="120"/>
      <c r="I38" s="120"/>
      <c r="J38" s="120"/>
      <c r="K38" s="120"/>
      <c r="L38" s="120"/>
      <c r="M38" s="120"/>
      <c r="N38" s="120"/>
      <c r="O38" s="108"/>
      <c r="P38" s="108"/>
      <c r="Q38" s="108"/>
      <c r="R38" s="108"/>
      <c r="S38" s="108"/>
      <c r="T38" s="108"/>
      <c r="U38" s="108"/>
      <c r="V38" s="108"/>
      <c r="BO38" s="128"/>
    </row>
    <row r="39" spans="1:95" ht="17.25" outlineLevel="1" thickBot="1" x14ac:dyDescent="0.35">
      <c r="A39" s="117" t="s">
        <v>333</v>
      </c>
      <c r="B39" s="119"/>
      <c r="C39" s="135" t="s">
        <v>328</v>
      </c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BO39" s="128"/>
    </row>
    <row r="40" spans="1:95" ht="17.25" outlineLevel="1" thickBot="1" x14ac:dyDescent="0.35">
      <c r="A40" s="117" t="s">
        <v>334</v>
      </c>
      <c r="B40" s="119"/>
      <c r="C40" s="135" t="s">
        <v>328</v>
      </c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BO40" s="106"/>
    </row>
    <row r="41" spans="1:95" ht="17.25" outlineLevel="1" thickBot="1" x14ac:dyDescent="0.35">
      <c r="A41" s="117" t="s">
        <v>335</v>
      </c>
      <c r="B41" s="118"/>
      <c r="C41" s="135" t="s">
        <v>328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BO41" s="106"/>
    </row>
    <row r="42" spans="1:95" ht="17.25" outlineLevel="1" thickBot="1" x14ac:dyDescent="0.35">
      <c r="A42" s="117" t="s">
        <v>336</v>
      </c>
      <c r="B42" s="118"/>
      <c r="C42" s="135" t="s">
        <v>328</v>
      </c>
      <c r="I42" s="107"/>
      <c r="J42" s="107"/>
      <c r="K42" s="107"/>
      <c r="L42" s="107"/>
      <c r="BO42" s="106"/>
    </row>
    <row r="43" spans="1:95" ht="17.25" outlineLevel="1" thickBot="1" x14ac:dyDescent="0.35">
      <c r="A43" s="117" t="s">
        <v>337</v>
      </c>
      <c r="B43" s="119"/>
      <c r="C43" s="135" t="s">
        <v>328</v>
      </c>
      <c r="D43" s="107"/>
      <c r="E43" s="107"/>
      <c r="F43" s="124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BO43" s="106"/>
    </row>
    <row r="44" spans="1:95" ht="17.25" outlineLevel="1" thickBot="1" x14ac:dyDescent="0.35">
      <c r="A44" s="125" t="s">
        <v>339</v>
      </c>
      <c r="B44" s="114"/>
      <c r="C44" s="12" t="s">
        <v>369</v>
      </c>
      <c r="D44" s="108"/>
      <c r="E44" s="108"/>
      <c r="F44" s="108"/>
      <c r="G44" s="105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36"/>
      <c r="AA44" s="107"/>
      <c r="AB44" s="107"/>
      <c r="AC44" s="107"/>
      <c r="AD44" s="107"/>
      <c r="AE44" s="107"/>
      <c r="AF44" s="107"/>
      <c r="AG44" s="107"/>
      <c r="AH44" s="107"/>
      <c r="AI44" s="107"/>
      <c r="BO44" s="106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</row>
    <row r="45" spans="1:95" ht="17.25" outlineLevel="1" thickBot="1" x14ac:dyDescent="0.35">
      <c r="A45" s="117" t="s">
        <v>341</v>
      </c>
      <c r="B45" s="114"/>
      <c r="C45" s="108" t="s">
        <v>370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"/>
      <c r="P45" s="12"/>
      <c r="Q45" s="12"/>
      <c r="R45" s="12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7"/>
      <c r="BO45" s="106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</row>
    <row r="46" spans="1:95" ht="17.25" outlineLevel="1" thickBot="1" x14ac:dyDescent="0.35">
      <c r="A46" s="125" t="s">
        <v>343</v>
      </c>
      <c r="B46" s="114"/>
      <c r="C46" s="12" t="s">
        <v>371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7"/>
      <c r="BH46" s="107"/>
      <c r="BI46" s="107"/>
      <c r="BJ46" s="107"/>
      <c r="BK46" s="107"/>
      <c r="BL46" s="107"/>
      <c r="BM46" s="107"/>
      <c r="BN46" s="107"/>
      <c r="BO46" s="106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</row>
    <row r="47" spans="1:95" ht="17.25" outlineLevel="1" thickBot="1" x14ac:dyDescent="0.35">
      <c r="A47" s="125" t="s">
        <v>345</v>
      </c>
      <c r="B47" s="114"/>
      <c r="C47" s="12" t="s">
        <v>361</v>
      </c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6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</row>
    <row r="48" spans="1:95" ht="17.25" outlineLevel="1" thickBot="1" x14ac:dyDescent="0.35">
      <c r="A48" s="126" t="s">
        <v>347</v>
      </c>
      <c r="B48" s="114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2" t="s">
        <v>372</v>
      </c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27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</row>
    <row r="49" spans="1:95" ht="17.25" outlineLevel="1" thickBot="1" x14ac:dyDescent="0.35">
      <c r="A49" s="117" t="s">
        <v>349</v>
      </c>
      <c r="B49" s="114"/>
      <c r="AU49" s="12" t="s">
        <v>373</v>
      </c>
      <c r="AV49" s="108"/>
      <c r="AW49" s="108"/>
      <c r="AX49" s="108"/>
      <c r="AY49" s="108"/>
      <c r="AZ49" s="108"/>
      <c r="BA49" s="108"/>
      <c r="BB49" s="12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27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</row>
    <row r="50" spans="1:95" ht="17.25" outlineLevel="1" thickBot="1" x14ac:dyDescent="0.35">
      <c r="A50" s="117" t="s">
        <v>351</v>
      </c>
      <c r="B50" s="114"/>
      <c r="AU50" s="12" t="s">
        <v>374</v>
      </c>
      <c r="AV50" s="108"/>
      <c r="AW50" s="108"/>
      <c r="AX50" s="108"/>
      <c r="AY50" s="108"/>
      <c r="AZ50" s="108"/>
      <c r="BA50" s="108"/>
      <c r="BB50" s="108"/>
      <c r="BC50" s="131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27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7"/>
      <c r="CC50" s="107"/>
      <c r="CD50" s="107"/>
      <c r="CE50" s="107"/>
      <c r="CF50" s="107"/>
      <c r="CG50" s="107"/>
      <c r="CH50" s="123"/>
      <c r="CI50" s="107"/>
      <c r="CJ50" s="107"/>
      <c r="CK50" s="107"/>
      <c r="CL50" s="107"/>
      <c r="CM50" s="107"/>
    </row>
    <row r="51" spans="1:95" ht="17.25" outlineLevel="1" thickBot="1" x14ac:dyDescent="0.35">
      <c r="A51" s="117" t="s">
        <v>353</v>
      </c>
      <c r="B51" s="114"/>
      <c r="AU51" s="12" t="s">
        <v>375</v>
      </c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31"/>
      <c r="BL51" s="108"/>
      <c r="BM51" s="108"/>
      <c r="BN51" s="149"/>
      <c r="BO51" s="150"/>
      <c r="BP51" s="149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7"/>
      <c r="CC51" s="107"/>
      <c r="CD51" s="107"/>
      <c r="CE51" s="107"/>
      <c r="CF51" s="107"/>
      <c r="CG51" s="107"/>
      <c r="CH51" s="107"/>
      <c r="CI51" s="107"/>
      <c r="CJ51" s="107"/>
      <c r="CK51" s="123"/>
      <c r="CL51" s="107"/>
      <c r="CM51" s="107"/>
    </row>
    <row r="52" spans="1:95" ht="18" outlineLevel="1" thickTop="1" thickBot="1" x14ac:dyDescent="0.35">
      <c r="A52" s="125" t="s">
        <v>355</v>
      </c>
      <c r="B52" s="114"/>
      <c r="BM52" s="148"/>
      <c r="BN52" s="177" t="s">
        <v>376</v>
      </c>
      <c r="BO52" s="178"/>
      <c r="BP52" s="179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41" t="s">
        <v>326</v>
      </c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</row>
    <row r="53" spans="1:95" ht="18" thickTop="1" thickBot="1" x14ac:dyDescent="0.35">
      <c r="A53" s="111" t="s">
        <v>377</v>
      </c>
      <c r="B53" s="112"/>
      <c r="C53" s="114"/>
      <c r="D53" s="114"/>
      <c r="E53" s="114"/>
      <c r="F53" s="114"/>
      <c r="G53" s="9"/>
      <c r="H53" s="9"/>
      <c r="I53" s="9"/>
      <c r="J53" s="9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3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06"/>
      <c r="BP53" s="114"/>
      <c r="BQ53" s="114"/>
      <c r="BR53" s="114"/>
      <c r="BS53" s="114"/>
      <c r="BT53" s="186" t="s">
        <v>378</v>
      </c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87" t="s">
        <v>379</v>
      </c>
      <c r="CF53" s="114"/>
      <c r="CG53" s="114"/>
      <c r="CH53" s="114"/>
      <c r="CI53" s="114"/>
      <c r="CJ53" s="114"/>
      <c r="CK53" s="10"/>
      <c r="CL53" s="10"/>
      <c r="CM53" s="10"/>
      <c r="CN53" s="10"/>
      <c r="CO53" s="115"/>
      <c r="CP53" s="115"/>
      <c r="CQ53" s="116"/>
    </row>
    <row r="54" spans="1:95" ht="17.25" outlineLevel="1" thickBot="1" x14ac:dyDescent="0.35">
      <c r="A54" s="117" t="s">
        <v>327</v>
      </c>
      <c r="B54" s="118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6"/>
    </row>
    <row r="55" spans="1:95" ht="17.25" outlineLevel="1" thickBot="1" x14ac:dyDescent="0.35">
      <c r="A55" s="117" t="s">
        <v>330</v>
      </c>
      <c r="B55" s="119"/>
      <c r="C55" s="12" t="s">
        <v>380</v>
      </c>
      <c r="D55" s="108"/>
      <c r="E55" s="108"/>
      <c r="F55" s="108"/>
      <c r="G55" s="108"/>
      <c r="H55" s="108"/>
      <c r="I55" s="108"/>
      <c r="J55" s="120"/>
      <c r="K55" s="120"/>
      <c r="L55" s="120"/>
      <c r="M55" s="120"/>
      <c r="N55" s="120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6"/>
    </row>
    <row r="56" spans="1:95" ht="17.25" outlineLevel="1" thickBot="1" x14ac:dyDescent="0.35">
      <c r="A56" s="117" t="s">
        <v>333</v>
      </c>
      <c r="B56" s="119"/>
      <c r="C56" s="135" t="s">
        <v>328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6"/>
    </row>
    <row r="57" spans="1:95" ht="17.25" outlineLevel="1" thickBot="1" x14ac:dyDescent="0.35">
      <c r="A57" s="117" t="s">
        <v>334</v>
      </c>
      <c r="B57" s="119"/>
      <c r="C57" s="12" t="s">
        <v>381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7"/>
      <c r="O57" s="108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6"/>
    </row>
    <row r="58" spans="1:95" ht="17.25" outlineLevel="1" thickBot="1" x14ac:dyDescent="0.35">
      <c r="A58" s="117" t="s">
        <v>335</v>
      </c>
      <c r="B58" s="118"/>
      <c r="C58" s="152" t="s">
        <v>382</v>
      </c>
      <c r="D58" s="152"/>
      <c r="E58" s="152"/>
      <c r="F58" s="152"/>
      <c r="G58" s="152"/>
      <c r="H58" s="108"/>
      <c r="I58" s="152"/>
      <c r="J58" s="108"/>
      <c r="K58" s="131"/>
      <c r="L58" s="131"/>
      <c r="M58" s="131"/>
      <c r="N58" s="131"/>
      <c r="O58" s="11"/>
      <c r="P58" s="11"/>
      <c r="Q58" s="11"/>
      <c r="R58" s="11"/>
      <c r="S58" s="11"/>
      <c r="T58" s="11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6"/>
    </row>
    <row r="59" spans="1:95" ht="18" outlineLevel="1" thickTop="1" thickBot="1" x14ac:dyDescent="0.35">
      <c r="A59" s="117" t="s">
        <v>336</v>
      </c>
      <c r="B59" s="118"/>
      <c r="C59" s="152" t="s">
        <v>383</v>
      </c>
      <c r="D59" s="152"/>
      <c r="E59" s="152"/>
      <c r="F59" s="152"/>
      <c r="G59" s="145"/>
      <c r="H59" s="191"/>
      <c r="I59" s="190"/>
      <c r="J59" s="107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6"/>
    </row>
    <row r="60" spans="1:95" ht="17.25" outlineLevel="1" thickBot="1" x14ac:dyDescent="0.35">
      <c r="A60" s="117" t="s">
        <v>337</v>
      </c>
      <c r="B60" s="119"/>
      <c r="C60" s="135" t="s">
        <v>384</v>
      </c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24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6"/>
    </row>
    <row r="61" spans="1:95" ht="17.25" outlineLevel="1" thickBot="1" x14ac:dyDescent="0.35">
      <c r="A61" s="125" t="s">
        <v>339</v>
      </c>
      <c r="B61" s="114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2" t="s">
        <v>385</v>
      </c>
      <c r="T61" s="12"/>
      <c r="U61" s="12"/>
      <c r="V61" s="12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20"/>
      <c r="AJ61" s="108"/>
      <c r="AK61" s="108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6"/>
    </row>
    <row r="62" spans="1:95" ht="17.25" outlineLevel="1" thickBot="1" x14ac:dyDescent="0.35">
      <c r="A62" s="117" t="s">
        <v>341</v>
      </c>
      <c r="B62" s="114"/>
      <c r="C62" s="12" t="s">
        <v>386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2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7"/>
      <c r="BH62" s="107"/>
      <c r="BI62" s="107"/>
      <c r="BJ62" s="107"/>
      <c r="BK62" s="107"/>
      <c r="BL62" s="107"/>
      <c r="BM62" s="107"/>
      <c r="BN62" s="107"/>
      <c r="BO62" s="106"/>
    </row>
    <row r="63" spans="1:95" ht="17.25" outlineLevel="1" thickBot="1" x14ac:dyDescent="0.35">
      <c r="A63" s="125" t="s">
        <v>343</v>
      </c>
      <c r="B63" s="114"/>
      <c r="C63" s="12" t="s">
        <v>387</v>
      </c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21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7"/>
      <c r="BJ63" s="107"/>
      <c r="BK63" s="107"/>
      <c r="BL63" s="107"/>
      <c r="BM63" s="107"/>
      <c r="BN63" s="107"/>
      <c r="BO63" s="106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</row>
    <row r="64" spans="1:95" ht="17.25" outlineLevel="1" thickBot="1" x14ac:dyDescent="0.35">
      <c r="A64" s="125" t="s">
        <v>345</v>
      </c>
      <c r="B64" s="114"/>
      <c r="C64" s="108" t="s">
        <v>388</v>
      </c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7"/>
      <c r="BJ64" s="107"/>
      <c r="BK64" s="107"/>
      <c r="BL64" s="107"/>
      <c r="BM64" s="107"/>
      <c r="BN64" s="107"/>
      <c r="BO64" s="106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</row>
    <row r="65" spans="1:95" ht="17.25" outlineLevel="1" thickBot="1" x14ac:dyDescent="0.35">
      <c r="A65" s="126" t="s">
        <v>347</v>
      </c>
      <c r="B65" s="114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2" t="s">
        <v>389</v>
      </c>
      <c r="BI65" s="108"/>
      <c r="BJ65" s="108"/>
      <c r="BK65" s="107"/>
      <c r="BL65" s="107"/>
      <c r="BM65" s="107"/>
      <c r="BN65" s="107"/>
      <c r="BO65" s="106"/>
      <c r="BP65" s="107"/>
      <c r="BQ65" s="107"/>
      <c r="BR65" s="107"/>
      <c r="BS65" s="107"/>
      <c r="BT65" s="8"/>
      <c r="BU65" s="107"/>
      <c r="BV65" s="107"/>
      <c r="BW65" s="107"/>
      <c r="BX65" s="107"/>
      <c r="BY65" s="107"/>
      <c r="BZ65" s="107"/>
      <c r="CA65" s="107"/>
      <c r="CB65" s="107"/>
      <c r="CC65" s="107"/>
      <c r="CD65" s="107"/>
      <c r="CE65" s="107"/>
      <c r="CF65" s="107"/>
      <c r="CG65" s="107"/>
      <c r="CH65" s="107"/>
      <c r="CI65" s="107"/>
      <c r="CJ65" s="107"/>
      <c r="CK65" s="107"/>
      <c r="CL65" s="107"/>
    </row>
    <row r="66" spans="1:95" ht="17.25" outlineLevel="1" thickBot="1" x14ac:dyDescent="0.35">
      <c r="A66" s="117" t="s">
        <v>353</v>
      </c>
      <c r="B66" s="114"/>
      <c r="BO66" s="106"/>
      <c r="BP66" s="12" t="s">
        <v>390</v>
      </c>
      <c r="BQ66" s="108"/>
      <c r="BR66" s="108"/>
      <c r="BS66" s="108"/>
      <c r="BT66" s="149"/>
      <c r="BU66" s="182"/>
      <c r="BV66" s="183"/>
      <c r="BW66" s="182"/>
      <c r="BX66" s="107"/>
      <c r="BY66" s="107"/>
      <c r="BZ66" s="107"/>
      <c r="CA66" s="107"/>
      <c r="CB66" s="107"/>
      <c r="CC66" s="107"/>
      <c r="CD66" s="107"/>
      <c r="CE66" s="8"/>
      <c r="CF66" s="107"/>
      <c r="CG66" s="107"/>
      <c r="CH66" s="107"/>
      <c r="CI66" s="107"/>
      <c r="CJ66" s="107"/>
      <c r="CK66" s="123"/>
      <c r="CL66" s="107"/>
    </row>
    <row r="67" spans="1:95" ht="18" outlineLevel="1" thickTop="1" thickBot="1" x14ac:dyDescent="0.35">
      <c r="A67" s="125" t="s">
        <v>355</v>
      </c>
      <c r="B67" s="114"/>
      <c r="BC67" s="129" t="s">
        <v>391</v>
      </c>
      <c r="BO67" s="106"/>
      <c r="BP67" s="107"/>
      <c r="BQ67" s="107"/>
      <c r="BR67" s="107"/>
      <c r="BS67" s="175"/>
      <c r="BT67" s="186" t="s">
        <v>378</v>
      </c>
      <c r="BU67" s="185"/>
      <c r="BV67" s="185"/>
      <c r="BW67" s="184"/>
      <c r="BX67" s="107"/>
      <c r="BY67" s="107"/>
      <c r="BZ67" s="107"/>
      <c r="CA67" s="107"/>
      <c r="CB67" s="107"/>
      <c r="CC67" s="107"/>
      <c r="CD67" s="107"/>
      <c r="CE67" s="187" t="s">
        <v>379</v>
      </c>
      <c r="CF67" s="171"/>
      <c r="CG67" s="171"/>
      <c r="CH67" s="172"/>
      <c r="CI67" s="107"/>
    </row>
    <row r="68" spans="1:95" ht="17.25" thickBot="1" x14ac:dyDescent="0.35">
      <c r="A68" s="111" t="s">
        <v>392</v>
      </c>
      <c r="B68" s="112"/>
      <c r="C68" s="114"/>
      <c r="D68" s="159"/>
      <c r="E68" s="159"/>
      <c r="F68" s="159"/>
      <c r="G68" s="158"/>
      <c r="H68" s="9"/>
      <c r="I68" s="9"/>
      <c r="J68" s="9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06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0"/>
      <c r="CL68" s="10"/>
      <c r="CM68" s="10"/>
      <c r="CN68" s="10"/>
      <c r="CO68" s="115"/>
      <c r="CP68" s="115"/>
      <c r="CQ68" s="116"/>
    </row>
    <row r="69" spans="1:95" ht="17.25" outlineLevel="1" thickBot="1" x14ac:dyDescent="0.35">
      <c r="A69" s="117" t="s">
        <v>327</v>
      </c>
      <c r="B69" s="118"/>
      <c r="C69" s="143"/>
      <c r="D69" s="161" t="s">
        <v>393</v>
      </c>
      <c r="E69" s="152"/>
      <c r="F69" s="152"/>
      <c r="G69" s="160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BO69" s="106"/>
    </row>
    <row r="70" spans="1:95" ht="17.25" outlineLevel="1" thickBot="1" x14ac:dyDescent="0.35">
      <c r="A70" s="117" t="s">
        <v>330</v>
      </c>
      <c r="B70" s="119"/>
      <c r="C70" s="162" t="s">
        <v>394</v>
      </c>
      <c r="D70" s="163"/>
      <c r="E70" s="163"/>
      <c r="F70" s="163"/>
      <c r="G70" s="163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O70" s="106"/>
    </row>
    <row r="71" spans="1:95" ht="17.25" outlineLevel="1" thickBot="1" x14ac:dyDescent="0.35">
      <c r="A71" s="117" t="s">
        <v>333</v>
      </c>
      <c r="B71" s="119"/>
      <c r="C71" s="12" t="s">
        <v>395</v>
      </c>
      <c r="D71" s="108"/>
      <c r="E71" s="108"/>
      <c r="F71" s="108"/>
      <c r="G71" s="108"/>
      <c r="H71" s="107"/>
      <c r="I71" s="107"/>
      <c r="J71" s="107"/>
      <c r="L71" s="107"/>
      <c r="M71" s="107"/>
      <c r="N71" s="107"/>
      <c r="O71" s="107"/>
      <c r="P71" s="107"/>
      <c r="Q71" s="107"/>
      <c r="R71" s="107"/>
      <c r="S71" s="107"/>
      <c r="BO71" s="106"/>
    </row>
    <row r="72" spans="1:95" ht="17.25" outlineLevel="1" thickBot="1" x14ac:dyDescent="0.35">
      <c r="A72" s="117" t="s">
        <v>334</v>
      </c>
      <c r="B72" s="119"/>
      <c r="C72" s="12" t="s">
        <v>396</v>
      </c>
      <c r="D72" s="108"/>
      <c r="E72" s="108"/>
      <c r="F72" s="108"/>
      <c r="G72" s="108"/>
      <c r="H72" s="108"/>
      <c r="I72" s="108"/>
      <c r="J72" s="108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BO72" s="106"/>
    </row>
    <row r="73" spans="1:95" ht="17.25" outlineLevel="1" thickBot="1" x14ac:dyDescent="0.35">
      <c r="A73" s="117" t="s">
        <v>335</v>
      </c>
      <c r="B73" s="118"/>
      <c r="C73" s="107"/>
      <c r="D73" s="107"/>
      <c r="E73" s="107"/>
      <c r="F73" s="107"/>
      <c r="G73" s="107"/>
      <c r="H73" s="107"/>
      <c r="I73" s="107"/>
      <c r="J73" s="107"/>
      <c r="K73" s="155" t="s">
        <v>397</v>
      </c>
      <c r="L73" s="153"/>
      <c r="M73" s="153"/>
      <c r="N73" s="153"/>
      <c r="O73" s="153"/>
      <c r="P73" s="153"/>
      <c r="Q73" s="153"/>
      <c r="R73" s="153"/>
      <c r="S73" s="153"/>
      <c r="T73" s="152"/>
      <c r="U73" s="152"/>
      <c r="W73" s="152"/>
      <c r="Y73" s="107"/>
      <c r="BO73" s="106"/>
    </row>
    <row r="74" spans="1:95" ht="18" outlineLevel="1" thickTop="1" thickBot="1" x14ac:dyDescent="0.35">
      <c r="A74" s="117" t="s">
        <v>336</v>
      </c>
      <c r="B74" s="118"/>
      <c r="C74" s="107"/>
      <c r="D74" s="107"/>
      <c r="E74" s="107"/>
      <c r="F74" s="107"/>
      <c r="G74" s="107"/>
      <c r="H74" s="107"/>
      <c r="I74" s="107"/>
      <c r="J74" s="143"/>
      <c r="K74" s="155" t="s">
        <v>398</v>
      </c>
      <c r="L74" s="153"/>
      <c r="M74" s="153"/>
      <c r="N74" s="153"/>
      <c r="O74" s="153"/>
      <c r="P74" s="153"/>
      <c r="Q74" s="153"/>
      <c r="R74" s="153"/>
      <c r="S74" s="153"/>
      <c r="T74" s="152"/>
      <c r="U74" s="160"/>
      <c r="V74" s="189"/>
      <c r="W74" s="190"/>
      <c r="Y74" s="107"/>
      <c r="BO74" s="106"/>
    </row>
    <row r="75" spans="1:95" ht="17.25" outlineLevel="1" thickBot="1" x14ac:dyDescent="0.35">
      <c r="A75" s="117" t="s">
        <v>337</v>
      </c>
      <c r="B75" s="119"/>
      <c r="C75" s="12" t="s">
        <v>399</v>
      </c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5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6"/>
    </row>
    <row r="76" spans="1:95" ht="17.25" outlineLevel="1" thickBot="1" x14ac:dyDescent="0.35">
      <c r="A76" s="125" t="s">
        <v>339</v>
      </c>
      <c r="B76" s="114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23"/>
      <c r="T76" s="123"/>
      <c r="U76" s="123"/>
      <c r="V76" s="123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20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7"/>
      <c r="BH76" s="107"/>
      <c r="BI76" s="107"/>
      <c r="BJ76" s="107"/>
      <c r="BK76" s="107"/>
      <c r="BL76" s="107"/>
      <c r="BM76" s="107"/>
      <c r="BN76" s="107"/>
      <c r="BO76" s="106"/>
    </row>
    <row r="77" spans="1:95" ht="17.25" outlineLevel="1" thickBot="1" x14ac:dyDescent="0.35">
      <c r="A77" s="117" t="s">
        <v>341</v>
      </c>
      <c r="B77" s="114"/>
      <c r="C77" s="107"/>
      <c r="D77" s="107"/>
      <c r="E77" s="107"/>
      <c r="F77" s="107"/>
      <c r="G77" s="107"/>
      <c r="H77" s="107"/>
      <c r="I77" s="107"/>
      <c r="J77" s="107"/>
      <c r="K77" s="12" t="s">
        <v>400</v>
      </c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21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7"/>
      <c r="BH77" s="107"/>
      <c r="BI77" s="107"/>
      <c r="BJ77" s="107"/>
      <c r="BK77" s="107"/>
      <c r="BL77" s="107"/>
      <c r="BM77" s="107"/>
      <c r="BN77" s="107"/>
      <c r="BO77" s="106"/>
    </row>
    <row r="78" spans="1:95" ht="17.25" outlineLevel="1" thickBot="1" x14ac:dyDescent="0.35">
      <c r="A78" s="125" t="s">
        <v>343</v>
      </c>
      <c r="B78" s="114"/>
      <c r="G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8" t="s">
        <v>401</v>
      </c>
      <c r="AV78" s="108"/>
      <c r="AW78" s="108"/>
      <c r="AX78" s="121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27"/>
      <c r="BP78" s="108"/>
      <c r="BQ78" s="108"/>
      <c r="BR78" s="108"/>
      <c r="BS78" s="108"/>
      <c r="BT78" s="108"/>
      <c r="BU78" s="108"/>
      <c r="BV78" s="108"/>
      <c r="BW78" s="108"/>
      <c r="BX78" s="108"/>
      <c r="BY78" s="108"/>
      <c r="BZ78" s="108"/>
      <c r="CA78" s="108"/>
      <c r="CB78" s="108"/>
      <c r="CC78" s="108"/>
      <c r="CD78" s="108"/>
      <c r="CE78" s="108"/>
      <c r="CF78" s="108"/>
      <c r="CG78" s="108"/>
      <c r="CH78" s="108"/>
      <c r="CI78" s="107"/>
      <c r="CJ78" s="107"/>
    </row>
    <row r="79" spans="1:95" ht="17.25" outlineLevel="1" thickBot="1" x14ac:dyDescent="0.35">
      <c r="A79" s="125" t="s">
        <v>402</v>
      </c>
      <c r="B79" s="114"/>
      <c r="C79" s="140"/>
      <c r="D79" s="11"/>
      <c r="E79" s="11"/>
      <c r="F79" s="11"/>
      <c r="G79" s="11"/>
      <c r="H79" s="11"/>
      <c r="I79" s="11"/>
      <c r="J79" s="11"/>
      <c r="K79" s="104" t="s">
        <v>403</v>
      </c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6"/>
      <c r="BP79" s="107"/>
      <c r="BQ79" s="107"/>
      <c r="BR79" s="107"/>
      <c r="BS79" s="107"/>
      <c r="BT79" s="107"/>
      <c r="BU79" s="107"/>
      <c r="BV79" s="107"/>
      <c r="BW79" s="107"/>
      <c r="BX79" s="107"/>
      <c r="BY79" s="107"/>
      <c r="BZ79" s="107"/>
      <c r="CA79" s="107"/>
      <c r="CB79" s="107"/>
      <c r="CC79" s="107"/>
      <c r="CD79" s="107"/>
      <c r="CE79" s="107"/>
      <c r="CF79" s="107"/>
      <c r="CG79" s="107"/>
      <c r="CH79" s="107"/>
      <c r="CI79" s="107"/>
      <c r="CJ79" s="107"/>
      <c r="CK79" s="107"/>
      <c r="CL79" s="107"/>
      <c r="CM79" s="107"/>
      <c r="CN79" s="107"/>
      <c r="CO79" s="107"/>
      <c r="CP79" s="107"/>
    </row>
    <row r="80" spans="1:95" ht="17.25" outlineLevel="1" thickBot="1" x14ac:dyDescent="0.35">
      <c r="A80" s="125" t="s">
        <v>404</v>
      </c>
      <c r="B80" s="114"/>
      <c r="C80" s="8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2" t="s">
        <v>405</v>
      </c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20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27"/>
      <c r="BP80" s="108"/>
      <c r="BQ80" s="108"/>
      <c r="BR80" s="108"/>
      <c r="BS80" s="108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7"/>
      <c r="CE80" s="107"/>
      <c r="CF80" s="107"/>
      <c r="CG80" s="107"/>
      <c r="CH80" s="107"/>
      <c r="CI80" s="107"/>
      <c r="CJ80" s="107"/>
      <c r="CK80" s="107"/>
      <c r="CL80" s="107"/>
      <c r="CM80" s="107"/>
      <c r="CN80" s="107"/>
      <c r="CO80" s="107"/>
      <c r="CP80" s="107"/>
    </row>
    <row r="81" spans="1:95" ht="17.25" outlineLevel="1" thickBot="1" x14ac:dyDescent="0.35">
      <c r="A81" s="125" t="s">
        <v>406</v>
      </c>
      <c r="B81" s="114"/>
      <c r="C81" s="8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22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2" t="s">
        <v>407</v>
      </c>
      <c r="BH81" s="108"/>
      <c r="BI81" s="108"/>
      <c r="BJ81" s="108"/>
      <c r="BK81" s="108"/>
      <c r="BL81" s="108"/>
      <c r="BM81" s="108"/>
      <c r="BN81" s="108"/>
      <c r="BO81" s="127"/>
      <c r="BP81" s="108"/>
      <c r="BQ81" s="108"/>
      <c r="BR81" s="108"/>
      <c r="BS81" s="108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</row>
    <row r="82" spans="1:95" ht="17.25" outlineLevel="1" thickBot="1" x14ac:dyDescent="0.35">
      <c r="A82" s="126" t="s">
        <v>347</v>
      </c>
      <c r="B82" s="114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6"/>
      <c r="BP82" s="107"/>
      <c r="BQ82" s="107"/>
      <c r="BR82" s="107"/>
      <c r="BS82" s="107"/>
      <c r="BT82" s="8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2" t="s">
        <v>408</v>
      </c>
      <c r="CG82" s="108"/>
      <c r="CH82" s="108"/>
      <c r="CI82" s="108"/>
      <c r="CJ82" s="108"/>
      <c r="CK82" s="107"/>
      <c r="CL82" s="107"/>
    </row>
    <row r="83" spans="1:95" ht="17.25" outlineLevel="1" thickBot="1" x14ac:dyDescent="0.35">
      <c r="A83" s="117" t="s">
        <v>349</v>
      </c>
      <c r="B83" s="114"/>
      <c r="BO83" s="106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8"/>
      <c r="CA83" s="107"/>
      <c r="CB83" s="107"/>
      <c r="CC83" s="107"/>
      <c r="CD83" s="107"/>
      <c r="CE83" s="107"/>
      <c r="CF83" s="12" t="s">
        <v>409</v>
      </c>
      <c r="CG83" s="108"/>
      <c r="CH83" s="108"/>
      <c r="CI83" s="108"/>
      <c r="CJ83" s="108"/>
      <c r="CK83" s="107"/>
      <c r="CL83" s="107"/>
    </row>
    <row r="84" spans="1:95" ht="17.25" outlineLevel="1" thickBot="1" x14ac:dyDescent="0.35">
      <c r="A84" s="117" t="s">
        <v>351</v>
      </c>
      <c r="B84" s="114"/>
      <c r="BO84" s="106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8"/>
      <c r="CB84" s="123"/>
      <c r="CC84" s="123"/>
      <c r="CD84" s="107"/>
      <c r="CE84" s="123"/>
      <c r="CF84" s="12" t="s">
        <v>410</v>
      </c>
      <c r="CG84" s="108"/>
      <c r="CH84" s="108"/>
      <c r="CI84" s="108"/>
      <c r="CJ84" s="108"/>
      <c r="CK84" s="107"/>
      <c r="CL84" s="107"/>
    </row>
    <row r="85" spans="1:95" ht="17.25" outlineLevel="1" thickBot="1" x14ac:dyDescent="0.35">
      <c r="A85" s="117" t="s">
        <v>353</v>
      </c>
      <c r="B85" s="114"/>
      <c r="BO85" s="106"/>
      <c r="BP85" s="107"/>
      <c r="BQ85" s="107"/>
      <c r="BR85" s="107"/>
      <c r="BS85" s="107"/>
      <c r="BT85" s="107"/>
      <c r="BU85" s="107"/>
      <c r="BV85" s="122"/>
      <c r="BW85" s="107"/>
      <c r="BX85" s="107"/>
      <c r="BY85" s="107"/>
      <c r="BZ85" s="107"/>
      <c r="CA85" s="107"/>
      <c r="CB85" s="107"/>
      <c r="CC85" s="107"/>
      <c r="CD85" s="107"/>
      <c r="CE85" s="8"/>
      <c r="CF85" s="12" t="s">
        <v>411</v>
      </c>
      <c r="CG85" s="108"/>
      <c r="CH85" s="108"/>
      <c r="CI85" s="108"/>
      <c r="CJ85" s="149"/>
      <c r="CK85" s="123"/>
      <c r="CL85" s="107"/>
    </row>
    <row r="86" spans="1:95" ht="18" outlineLevel="1" thickTop="1" thickBot="1" x14ac:dyDescent="0.35">
      <c r="A86" s="125" t="s">
        <v>355</v>
      </c>
      <c r="B86" s="114"/>
      <c r="BO86" s="106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75"/>
      <c r="CJ86" s="176" t="s">
        <v>326</v>
      </c>
    </row>
    <row r="87" spans="1:95" ht="17.25" thickBot="1" x14ac:dyDescent="0.35">
      <c r="A87" s="111" t="s">
        <v>412</v>
      </c>
      <c r="B87" s="112"/>
      <c r="C87" s="114"/>
      <c r="D87" s="114"/>
      <c r="E87" s="114"/>
      <c r="F87" s="114"/>
      <c r="G87" s="9"/>
      <c r="H87" s="9"/>
      <c r="I87" s="9"/>
      <c r="J87" s="9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06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  <c r="CF87" s="114"/>
      <c r="CG87" s="114"/>
      <c r="CH87" s="114"/>
      <c r="CI87" s="114"/>
      <c r="CJ87" s="114"/>
      <c r="CK87" s="10"/>
      <c r="CL87" s="10"/>
      <c r="CM87" s="10"/>
      <c r="CN87" s="10"/>
      <c r="CO87" s="115"/>
      <c r="CP87" s="115"/>
      <c r="CQ87" s="116"/>
    </row>
    <row r="88" spans="1:95" ht="17.25" outlineLevel="1" thickBot="1" x14ac:dyDescent="0.35">
      <c r="A88" s="117" t="s">
        <v>327</v>
      </c>
      <c r="B88" s="118"/>
      <c r="C88" s="122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BO88" s="106"/>
    </row>
    <row r="89" spans="1:95" ht="17.25" outlineLevel="1" thickBot="1" x14ac:dyDescent="0.35">
      <c r="A89" s="117" t="s">
        <v>330</v>
      </c>
      <c r="B89" s="119"/>
      <c r="C89" s="104" t="s">
        <v>413</v>
      </c>
      <c r="D89" s="131"/>
      <c r="E89" s="131"/>
      <c r="F89" s="120"/>
      <c r="G89" s="120"/>
      <c r="H89" s="120"/>
      <c r="I89" s="120"/>
      <c r="J89" s="120"/>
      <c r="K89" s="120"/>
      <c r="L89" s="120"/>
      <c r="M89" s="120"/>
      <c r="N89" s="120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</row>
    <row r="90" spans="1:95" ht="17.25" outlineLevel="1" thickBot="1" x14ac:dyDescent="0.35">
      <c r="A90" s="117" t="s">
        <v>333</v>
      </c>
      <c r="B90" s="119"/>
      <c r="C90" s="12" t="s">
        <v>414</v>
      </c>
      <c r="D90" s="108"/>
      <c r="E90" s="108"/>
      <c r="F90" s="108"/>
      <c r="G90" s="108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BO90" s="106"/>
    </row>
    <row r="91" spans="1:95" ht="17.25" outlineLevel="1" thickBot="1" x14ac:dyDescent="0.35">
      <c r="A91" s="117" t="s">
        <v>334</v>
      </c>
      <c r="B91" s="119"/>
      <c r="C91" s="12" t="s">
        <v>415</v>
      </c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7"/>
      <c r="P91" s="108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BO91" s="106"/>
    </row>
    <row r="92" spans="1:95" ht="17.25" outlineLevel="1" thickBot="1" x14ac:dyDescent="0.35">
      <c r="A92" s="117" t="s">
        <v>335</v>
      </c>
      <c r="B92" s="118"/>
      <c r="C92" s="12" t="s">
        <v>416</v>
      </c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7"/>
      <c r="P92" s="108"/>
      <c r="Q92" s="107"/>
      <c r="R92" s="107"/>
      <c r="S92" s="107"/>
      <c r="T92" s="107"/>
      <c r="U92" s="107"/>
      <c r="BO92" s="106"/>
    </row>
    <row r="93" spans="1:95" ht="17.25" outlineLevel="1" thickBot="1" x14ac:dyDescent="0.35">
      <c r="A93" s="117" t="s">
        <v>336</v>
      </c>
      <c r="B93" s="118"/>
      <c r="C93" s="12" t="s">
        <v>417</v>
      </c>
      <c r="D93" s="108"/>
      <c r="E93" s="108"/>
      <c r="F93" s="108"/>
      <c r="G93" s="107"/>
      <c r="H93" s="107"/>
      <c r="I93" s="107"/>
      <c r="J93" s="107"/>
      <c r="R93" s="107"/>
      <c r="BO93" s="106"/>
    </row>
    <row r="94" spans="1:95" ht="17.25" outlineLevel="1" thickBot="1" x14ac:dyDescent="0.35">
      <c r="A94" s="117" t="s">
        <v>337</v>
      </c>
      <c r="B94" s="119"/>
      <c r="C94" s="104" t="s">
        <v>418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5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6"/>
    </row>
    <row r="95" spans="1:95" ht="17.25" outlineLevel="1" thickBot="1" x14ac:dyDescent="0.35">
      <c r="A95" s="125" t="s">
        <v>339</v>
      </c>
      <c r="B95" s="114"/>
      <c r="C95" s="108" t="s">
        <v>419</v>
      </c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2"/>
      <c r="T95" s="12"/>
      <c r="U95" s="12"/>
      <c r="V95" s="12"/>
      <c r="W95" s="131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5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7"/>
      <c r="BH95" s="107"/>
      <c r="BI95" s="107"/>
      <c r="BJ95" s="107"/>
      <c r="BK95" s="107"/>
      <c r="BL95" s="107"/>
      <c r="BM95" s="107"/>
      <c r="BN95" s="107"/>
      <c r="BO95" s="106"/>
    </row>
    <row r="96" spans="1:95" ht="17.25" outlineLevel="1" thickBot="1" x14ac:dyDescent="0.35">
      <c r="A96" s="117" t="s">
        <v>341</v>
      </c>
      <c r="B96" s="114"/>
      <c r="C96" s="108" t="s">
        <v>420</v>
      </c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2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27"/>
      <c r="BP96" s="108"/>
      <c r="BQ96" s="108"/>
      <c r="BR96" s="108"/>
      <c r="BS96" s="108"/>
    </row>
    <row r="97" spans="1:95" ht="17.25" outlineLevel="1" thickBot="1" x14ac:dyDescent="0.35">
      <c r="A97" s="125" t="s">
        <v>343</v>
      </c>
      <c r="B97" s="114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8" t="s">
        <v>421</v>
      </c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4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27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7"/>
      <c r="CJ97" s="107"/>
    </row>
    <row r="98" spans="1:95" ht="17.25" outlineLevel="1" thickBot="1" x14ac:dyDescent="0.35">
      <c r="A98" s="125" t="s">
        <v>345</v>
      </c>
      <c r="B98" s="114"/>
      <c r="C98" s="12" t="s">
        <v>422</v>
      </c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27"/>
      <c r="BP98" s="108"/>
      <c r="BQ98" s="108"/>
      <c r="BR98" s="108"/>
      <c r="BS98" s="108"/>
      <c r="BT98" s="108"/>
      <c r="BU98" s="108"/>
      <c r="BV98" s="108"/>
      <c r="BW98" s="108"/>
      <c r="BX98" s="108"/>
      <c r="BY98" s="108"/>
      <c r="BZ98" s="108"/>
      <c r="CA98" s="108"/>
      <c r="CB98" s="108"/>
      <c r="CC98" s="108"/>
      <c r="CD98" s="108"/>
      <c r="CE98" s="108"/>
      <c r="CF98" s="108"/>
      <c r="CG98" s="108"/>
      <c r="CH98" s="108"/>
      <c r="CI98" s="107"/>
      <c r="CJ98" s="107"/>
    </row>
    <row r="99" spans="1:95" ht="17.25" outlineLevel="1" thickBot="1" x14ac:dyDescent="0.35">
      <c r="A99" s="126" t="s">
        <v>347</v>
      </c>
      <c r="B99" s="114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L99" s="107"/>
      <c r="BM99" s="107"/>
      <c r="BN99" s="107"/>
      <c r="BO99" s="106"/>
      <c r="BP99" s="107"/>
      <c r="BQ99" s="8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2" t="s">
        <v>423</v>
      </c>
      <c r="CG99" s="108"/>
      <c r="CH99" s="108"/>
      <c r="CI99" s="108"/>
      <c r="CJ99" s="108"/>
      <c r="CK99" s="108"/>
      <c r="CL99" s="108"/>
      <c r="CM99" s="108"/>
      <c r="CN99" s="108"/>
    </row>
    <row r="100" spans="1:95" ht="17.25" outlineLevel="1" thickBot="1" x14ac:dyDescent="0.35">
      <c r="A100" s="117" t="s">
        <v>349</v>
      </c>
      <c r="B100" s="114"/>
      <c r="BO100" s="106"/>
      <c r="BP100" s="107"/>
      <c r="BQ100" s="107"/>
      <c r="BR100" s="107"/>
      <c r="BS100" s="107"/>
      <c r="BT100" s="107"/>
      <c r="BU100" s="107"/>
      <c r="BV100" s="107"/>
      <c r="BW100" s="8"/>
      <c r="BX100" s="107"/>
      <c r="BY100" s="107"/>
      <c r="BZ100" s="107"/>
      <c r="CA100" s="107"/>
      <c r="CB100" s="107"/>
      <c r="CC100" s="107"/>
      <c r="CD100" s="107"/>
      <c r="CE100" s="107"/>
      <c r="CF100" s="12" t="s">
        <v>424</v>
      </c>
      <c r="CG100" s="108"/>
      <c r="CH100" s="108"/>
      <c r="CI100" s="108"/>
      <c r="CJ100" s="108"/>
      <c r="CK100" s="108"/>
      <c r="CL100" s="108"/>
      <c r="CM100" s="108"/>
      <c r="CN100" s="108"/>
    </row>
    <row r="101" spans="1:95" ht="17.25" outlineLevel="1" thickBot="1" x14ac:dyDescent="0.35">
      <c r="A101" s="117" t="s">
        <v>351</v>
      </c>
      <c r="B101" s="114"/>
      <c r="BH101" s="8"/>
      <c r="BI101" s="123"/>
      <c r="BJ101" s="123"/>
      <c r="BK101" s="123"/>
      <c r="BO101" s="106"/>
      <c r="BP101" s="107"/>
      <c r="BQ101" s="107"/>
      <c r="BR101" s="107"/>
      <c r="BS101" s="107"/>
      <c r="BT101" s="107"/>
      <c r="BU101" s="107"/>
      <c r="BV101" s="107"/>
      <c r="BW101" s="107"/>
      <c r="BX101" s="8"/>
      <c r="BY101" s="123"/>
      <c r="BZ101" s="123"/>
      <c r="CA101" s="107"/>
      <c r="CB101" s="123"/>
      <c r="CC101" s="107"/>
      <c r="CD101" s="107"/>
      <c r="CE101" s="107"/>
      <c r="CF101" s="12" t="s">
        <v>425</v>
      </c>
      <c r="CG101" s="108"/>
      <c r="CH101" s="108"/>
      <c r="CI101" s="108"/>
      <c r="CJ101" s="108"/>
      <c r="CK101" s="108"/>
      <c r="CL101" s="108"/>
      <c r="CM101" s="108"/>
      <c r="CN101" s="108"/>
    </row>
    <row r="102" spans="1:95" ht="17.25" outlineLevel="1" thickBot="1" x14ac:dyDescent="0.35">
      <c r="A102" s="117" t="s">
        <v>353</v>
      </c>
      <c r="B102" s="114"/>
      <c r="BO102" s="106"/>
      <c r="BP102" s="107"/>
      <c r="BQ102" s="107"/>
      <c r="BR102" s="107"/>
      <c r="BS102" s="122"/>
      <c r="BT102" s="107"/>
      <c r="BU102" s="107"/>
      <c r="BV102" s="107"/>
      <c r="BW102" s="107"/>
      <c r="BX102" s="107"/>
      <c r="BY102" s="107"/>
      <c r="BZ102" s="107"/>
      <c r="CA102" s="107"/>
      <c r="CB102" s="8"/>
      <c r="CC102" s="107"/>
      <c r="CD102" s="107"/>
      <c r="CE102" s="107"/>
      <c r="CF102" s="12" t="s">
        <v>426</v>
      </c>
      <c r="CG102" s="108"/>
      <c r="CH102" s="12"/>
      <c r="CI102" s="108"/>
      <c r="CJ102" s="108"/>
      <c r="CK102" s="108"/>
      <c r="CL102" s="108"/>
      <c r="CM102" s="108"/>
      <c r="CN102" s="108"/>
    </row>
    <row r="103" spans="1:95" ht="17.25" outlineLevel="1" thickBot="1" x14ac:dyDescent="0.35">
      <c r="A103" s="125" t="s">
        <v>355</v>
      </c>
      <c r="B103" s="114"/>
      <c r="BO103" s="106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51"/>
      <c r="CL103" s="173" t="s">
        <v>427</v>
      </c>
      <c r="CM103" s="173"/>
      <c r="CN103" s="171"/>
      <c r="CO103" s="172"/>
      <c r="CP103" s="107"/>
      <c r="CQ103" s="107"/>
    </row>
    <row r="104" spans="1:95" ht="17.25" thickBot="1" x14ac:dyDescent="0.35">
      <c r="A104" s="111" t="s">
        <v>428</v>
      </c>
      <c r="B104" s="112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06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5"/>
      <c r="CP104" s="115"/>
      <c r="CQ104" s="116"/>
    </row>
    <row r="105" spans="1:95" ht="17.25" outlineLevel="1" thickBot="1" x14ac:dyDescent="0.35">
      <c r="A105" s="117" t="s">
        <v>327</v>
      </c>
      <c r="B105" s="118"/>
      <c r="C105" s="135" t="s">
        <v>328</v>
      </c>
      <c r="BO105" s="106"/>
    </row>
    <row r="106" spans="1:95" ht="17.25" outlineLevel="1" thickBot="1" x14ac:dyDescent="0.35">
      <c r="A106" s="117" t="s">
        <v>330</v>
      </c>
      <c r="B106" s="119"/>
      <c r="C106" s="12" t="s">
        <v>429</v>
      </c>
      <c r="D106" s="120"/>
      <c r="E106" s="108"/>
      <c r="F106" s="121"/>
      <c r="G106" s="120"/>
      <c r="H106" s="120"/>
      <c r="I106" s="120"/>
      <c r="J106" s="120"/>
      <c r="K106" s="120"/>
      <c r="L106" s="120"/>
      <c r="M106" s="120"/>
      <c r="N106" s="120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BO106" s="106"/>
    </row>
    <row r="107" spans="1:95" ht="17.25" outlineLevel="1" thickBot="1" x14ac:dyDescent="0.35">
      <c r="A107" s="117" t="s">
        <v>333</v>
      </c>
      <c r="B107" s="119"/>
      <c r="C107" s="12" t="s">
        <v>430</v>
      </c>
      <c r="D107" s="108"/>
      <c r="E107" s="108"/>
      <c r="F107" s="108"/>
      <c r="G107" s="108"/>
      <c r="H107" s="107"/>
      <c r="I107" s="107"/>
      <c r="J107" s="107"/>
      <c r="K107" s="107"/>
      <c r="L107" s="107"/>
      <c r="M107" s="107"/>
      <c r="N107" s="107"/>
      <c r="O107" s="107"/>
      <c r="BO107" s="106"/>
    </row>
    <row r="108" spans="1:95" ht="17.25" outlineLevel="1" thickBot="1" x14ac:dyDescent="0.35">
      <c r="A108" s="117" t="s">
        <v>334</v>
      </c>
      <c r="B108" s="119"/>
      <c r="C108" s="135" t="s">
        <v>328</v>
      </c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BO108" s="106"/>
    </row>
    <row r="109" spans="1:95" ht="17.25" outlineLevel="1" thickBot="1" x14ac:dyDescent="0.35">
      <c r="A109" s="117" t="s">
        <v>335</v>
      </c>
      <c r="B109" s="118"/>
      <c r="C109" s="135" t="s">
        <v>328</v>
      </c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BO109" s="106"/>
    </row>
    <row r="110" spans="1:95" ht="18" outlineLevel="1" thickTop="1" thickBot="1" x14ac:dyDescent="0.35">
      <c r="A110" s="117" t="s">
        <v>336</v>
      </c>
      <c r="B110" s="118"/>
      <c r="C110" s="165" t="s">
        <v>431</v>
      </c>
      <c r="D110" s="166"/>
      <c r="E110" s="167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45"/>
      <c r="X110" s="189"/>
      <c r="Y110" s="190"/>
      <c r="BO110" s="106"/>
    </row>
    <row r="111" spans="1:95" ht="18" outlineLevel="1" thickTop="1" thickBot="1" x14ac:dyDescent="0.35">
      <c r="A111" s="117" t="s">
        <v>337</v>
      </c>
      <c r="B111" s="119"/>
      <c r="C111" s="169" t="s">
        <v>432</v>
      </c>
      <c r="D111" s="166"/>
      <c r="E111" s="166"/>
      <c r="F111" s="170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8"/>
      <c r="Y111" s="168"/>
      <c r="BO111" s="106"/>
    </row>
    <row r="112" spans="1:95" ht="17.25" outlineLevel="1" thickBot="1" x14ac:dyDescent="0.35">
      <c r="A112" s="125" t="s">
        <v>339</v>
      </c>
      <c r="B112" s="114"/>
      <c r="C112" s="12" t="s">
        <v>433</v>
      </c>
      <c r="D112" s="12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BO112" s="106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</row>
    <row r="113" spans="1:95" ht="17.25" outlineLevel="1" thickBot="1" x14ac:dyDescent="0.35">
      <c r="A113" s="117" t="s">
        <v>341</v>
      </c>
      <c r="B113" s="114"/>
      <c r="C113" s="12" t="s">
        <v>434</v>
      </c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"/>
      <c r="P113" s="12"/>
      <c r="Q113" s="12"/>
      <c r="R113" s="12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8"/>
      <c r="BN113" s="108"/>
      <c r="BO113" s="127"/>
      <c r="BP113" s="108"/>
      <c r="BQ113" s="108"/>
      <c r="BR113" s="108"/>
      <c r="BS113" s="108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</row>
    <row r="114" spans="1:95" ht="17.25" outlineLevel="1" thickBot="1" x14ac:dyDescent="0.35">
      <c r="A114" s="125" t="s">
        <v>343</v>
      </c>
      <c r="B114" s="114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2" t="s">
        <v>421</v>
      </c>
      <c r="AJ114" s="108"/>
      <c r="AK114" s="108"/>
      <c r="AL114" s="108"/>
      <c r="AM114" s="108"/>
      <c r="AN114" s="108"/>
      <c r="AO114" s="108"/>
      <c r="AP114" s="108"/>
      <c r="AQ114" s="12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108"/>
      <c r="BK114" s="108"/>
      <c r="BL114" s="108"/>
      <c r="BM114" s="108"/>
      <c r="BN114" s="108"/>
      <c r="BO114" s="127"/>
      <c r="BP114" s="108"/>
      <c r="BQ114" s="108"/>
      <c r="BR114" s="108"/>
      <c r="BS114" s="108"/>
      <c r="BT114" s="108"/>
      <c r="BU114" s="108"/>
      <c r="BV114" s="108"/>
      <c r="BW114" s="108"/>
      <c r="BX114" s="108"/>
      <c r="BY114" s="108"/>
      <c r="BZ114" s="108"/>
      <c r="CA114" s="108"/>
      <c r="CB114" s="108"/>
      <c r="CC114" s="108"/>
      <c r="CD114" s="108"/>
      <c r="CE114" s="108"/>
      <c r="CF114" s="108"/>
      <c r="CG114" s="108"/>
      <c r="CH114" s="108"/>
      <c r="CI114" s="107"/>
      <c r="CJ114" s="107"/>
      <c r="CK114" s="107"/>
      <c r="CL114" s="107"/>
      <c r="CM114" s="107"/>
    </row>
    <row r="115" spans="1:95" ht="17.25" outlineLevel="1" thickBot="1" x14ac:dyDescent="0.35">
      <c r="A115" s="125" t="s">
        <v>345</v>
      </c>
      <c r="B115" s="114"/>
      <c r="C115" s="12" t="s">
        <v>435</v>
      </c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27"/>
      <c r="BP115" s="108"/>
      <c r="BQ115" s="108"/>
      <c r="BR115" s="108"/>
      <c r="BS115" s="108"/>
      <c r="BT115" s="108"/>
      <c r="BU115" s="108"/>
      <c r="BV115" s="108"/>
      <c r="BW115" s="108"/>
      <c r="BX115" s="108"/>
      <c r="BY115" s="108"/>
      <c r="BZ115" s="108"/>
      <c r="CA115" s="108"/>
      <c r="CB115" s="108"/>
      <c r="CC115" s="108"/>
      <c r="CD115" s="108"/>
      <c r="CE115" s="108"/>
      <c r="CL115" s="107"/>
      <c r="CM115" s="107"/>
    </row>
    <row r="116" spans="1:95" ht="17.25" outlineLevel="1" thickBot="1" x14ac:dyDescent="0.35">
      <c r="A116" s="126" t="s">
        <v>347</v>
      </c>
      <c r="B116" s="114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6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2" t="s">
        <v>423</v>
      </c>
      <c r="CG116" s="108"/>
      <c r="CH116" s="108"/>
      <c r="CI116" s="108"/>
      <c r="CJ116" s="108"/>
      <c r="CK116" s="108"/>
      <c r="CL116" s="108"/>
      <c r="CM116" s="107"/>
    </row>
    <row r="117" spans="1:95" ht="17.25" outlineLevel="1" thickBot="1" x14ac:dyDescent="0.35">
      <c r="A117" s="117" t="s">
        <v>349</v>
      </c>
      <c r="B117" s="114"/>
      <c r="C117" s="107"/>
      <c r="D117" s="107"/>
      <c r="E117" s="107"/>
      <c r="F117" s="107"/>
      <c r="G117" s="107"/>
      <c r="H117" s="107"/>
      <c r="I117" s="107"/>
      <c r="J117" s="107"/>
      <c r="BO117" s="106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2" t="s">
        <v>424</v>
      </c>
      <c r="CG117" s="108"/>
      <c r="CH117" s="108"/>
      <c r="CI117" s="108"/>
      <c r="CJ117" s="108"/>
      <c r="CK117" s="108"/>
      <c r="CL117" s="108"/>
      <c r="CM117" s="107"/>
    </row>
    <row r="118" spans="1:95" ht="17.25" outlineLevel="1" thickBot="1" x14ac:dyDescent="0.35">
      <c r="A118" s="117" t="s">
        <v>351</v>
      </c>
      <c r="B118" s="114"/>
      <c r="C118" s="107"/>
      <c r="D118" s="107"/>
      <c r="E118" s="107"/>
      <c r="F118" s="107"/>
      <c r="G118" s="107"/>
      <c r="H118" s="107"/>
      <c r="I118" s="107"/>
      <c r="J118" s="107"/>
      <c r="BO118" s="106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2" t="s">
        <v>425</v>
      </c>
      <c r="CG118" s="108"/>
      <c r="CH118" s="12"/>
      <c r="CI118" s="121"/>
      <c r="CJ118" s="108"/>
      <c r="CK118" s="108"/>
      <c r="CL118" s="108"/>
      <c r="CM118" s="107"/>
    </row>
    <row r="119" spans="1:95" ht="17.25" outlineLevel="1" thickBot="1" x14ac:dyDescent="0.35">
      <c r="A119" s="117" t="s">
        <v>353</v>
      </c>
      <c r="B119" s="114"/>
      <c r="C119" s="107"/>
      <c r="D119" s="107"/>
      <c r="E119" s="107"/>
      <c r="F119" s="107"/>
      <c r="G119" s="107"/>
      <c r="H119" s="107"/>
      <c r="I119" s="107"/>
      <c r="J119" s="107"/>
      <c r="BO119" s="106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2" t="s">
        <v>426</v>
      </c>
      <c r="CG119" s="108"/>
      <c r="CH119" s="108"/>
      <c r="CI119" s="108"/>
      <c r="CJ119" s="108"/>
      <c r="CK119" s="121"/>
      <c r="CL119" s="108"/>
      <c r="CM119" s="107"/>
    </row>
    <row r="120" spans="1:95" ht="17.25" outlineLevel="1" thickBot="1" x14ac:dyDescent="0.35">
      <c r="A120" s="125" t="s">
        <v>355</v>
      </c>
      <c r="B120" s="114"/>
      <c r="BO120" s="106"/>
      <c r="BP120" s="103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41" t="s">
        <v>326</v>
      </c>
    </row>
    <row r="121" spans="1:95" ht="17.25" thickBot="1" x14ac:dyDescent="0.35">
      <c r="A121" s="111" t="s">
        <v>436</v>
      </c>
      <c r="B121" s="112"/>
      <c r="C121" s="114"/>
      <c r="D121" s="114"/>
      <c r="E121" s="114"/>
      <c r="F121" s="114"/>
      <c r="G121" s="9"/>
      <c r="H121" s="9"/>
      <c r="I121" s="9"/>
      <c r="J121" s="9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06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4"/>
      <c r="CE121" s="114"/>
      <c r="CF121" s="114"/>
      <c r="CG121" s="114"/>
      <c r="CH121" s="114"/>
      <c r="CI121" s="114"/>
      <c r="CJ121" s="114"/>
      <c r="CK121" s="10"/>
      <c r="CL121" s="10"/>
      <c r="CM121" s="10"/>
      <c r="CN121" s="10"/>
      <c r="CO121" s="115"/>
      <c r="CP121" s="115"/>
      <c r="CQ121" s="116"/>
    </row>
    <row r="122" spans="1:95" ht="17.25" outlineLevel="1" thickBot="1" x14ac:dyDescent="0.35">
      <c r="A122" s="117" t="s">
        <v>327</v>
      </c>
      <c r="B122" s="118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BO122" s="106"/>
    </row>
    <row r="123" spans="1:95" ht="17.25" outlineLevel="1" thickBot="1" x14ac:dyDescent="0.35">
      <c r="A123" s="117" t="s">
        <v>330</v>
      </c>
      <c r="B123" s="119"/>
      <c r="C123" s="123"/>
      <c r="D123" s="107"/>
      <c r="E123" s="107"/>
      <c r="F123" s="107"/>
      <c r="G123" s="162" t="s">
        <v>437</v>
      </c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  <c r="AZ123" s="163"/>
      <c r="BA123" s="163"/>
      <c r="BB123" s="163"/>
      <c r="BC123" s="163"/>
      <c r="BD123" s="163"/>
      <c r="BE123" s="163"/>
      <c r="BF123" s="163"/>
      <c r="BO123" s="106"/>
    </row>
    <row r="124" spans="1:95" ht="17.25" outlineLevel="1" thickBot="1" x14ac:dyDescent="0.35">
      <c r="A124" s="117" t="s">
        <v>333</v>
      </c>
      <c r="B124" s="119"/>
      <c r="C124" s="135" t="s">
        <v>328</v>
      </c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BO124" s="106"/>
    </row>
    <row r="125" spans="1:95" ht="17.25" outlineLevel="1" thickBot="1" x14ac:dyDescent="0.35">
      <c r="A125" s="117" t="s">
        <v>334</v>
      </c>
      <c r="B125" s="119"/>
      <c r="C125" s="108" t="s">
        <v>438</v>
      </c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7"/>
      <c r="P125" s="107"/>
      <c r="Q125" s="107"/>
      <c r="R125" s="107"/>
      <c r="S125" s="107"/>
      <c r="T125" s="107"/>
      <c r="U125" s="107"/>
      <c r="BO125" s="106"/>
    </row>
    <row r="126" spans="1:95" ht="17.25" outlineLevel="1" thickBot="1" x14ac:dyDescent="0.35">
      <c r="A126" s="117" t="s">
        <v>335</v>
      </c>
      <c r="B126" s="118"/>
      <c r="C126" s="107"/>
      <c r="D126" s="107"/>
      <c r="E126" s="107"/>
      <c r="F126" s="107"/>
      <c r="G126" s="107"/>
      <c r="H126" s="107"/>
      <c r="I126" s="107"/>
      <c r="J126" s="107"/>
      <c r="K126" s="155" t="s">
        <v>397</v>
      </c>
      <c r="L126" s="153"/>
      <c r="M126" s="153"/>
      <c r="N126" s="153"/>
      <c r="O126" s="153"/>
      <c r="P126" s="153"/>
      <c r="Q126" s="153"/>
      <c r="R126" s="153"/>
      <c r="S126" s="153"/>
      <c r="T126" s="152"/>
      <c r="U126" s="152"/>
      <c r="W126" s="152"/>
      <c r="Y126" s="107"/>
      <c r="BO126" s="106"/>
    </row>
    <row r="127" spans="1:95" ht="18" outlineLevel="1" thickTop="1" thickBot="1" x14ac:dyDescent="0.35">
      <c r="A127" s="117" t="s">
        <v>336</v>
      </c>
      <c r="B127" s="118"/>
      <c r="C127" s="107"/>
      <c r="D127" s="107"/>
      <c r="E127" s="107"/>
      <c r="F127" s="107"/>
      <c r="G127" s="107"/>
      <c r="H127" s="107"/>
      <c r="I127" s="107"/>
      <c r="J127" s="143"/>
      <c r="K127" s="155" t="s">
        <v>398</v>
      </c>
      <c r="L127" s="153"/>
      <c r="M127" s="153"/>
      <c r="N127" s="153"/>
      <c r="O127" s="153"/>
      <c r="P127" s="153"/>
      <c r="Q127" s="153"/>
      <c r="R127" s="153"/>
      <c r="S127" s="153"/>
      <c r="T127" s="152"/>
      <c r="U127" s="145"/>
      <c r="V127" s="189"/>
      <c r="W127" s="190"/>
      <c r="Y127" s="107"/>
      <c r="BO127" s="106"/>
    </row>
    <row r="128" spans="1:95" ht="17.25" outlineLevel="1" thickBot="1" x14ac:dyDescent="0.35">
      <c r="A128" s="117" t="s">
        <v>337</v>
      </c>
      <c r="B128" s="119"/>
      <c r="C128" s="12" t="s">
        <v>439</v>
      </c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5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6"/>
    </row>
    <row r="129" spans="1:95" ht="17.25" outlineLevel="1" thickBot="1" x14ac:dyDescent="0.35">
      <c r="A129" s="125" t="s">
        <v>339</v>
      </c>
      <c r="B129" s="114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23"/>
      <c r="T129" s="123"/>
      <c r="U129" s="123"/>
      <c r="V129" s="123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21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108"/>
      <c r="BB129" s="108"/>
      <c r="BC129" s="108"/>
      <c r="BD129" s="108"/>
      <c r="BE129" s="108"/>
      <c r="BF129" s="108"/>
      <c r="BG129" s="107"/>
      <c r="BH129" s="107"/>
      <c r="BI129" s="107"/>
      <c r="BJ129" s="107"/>
      <c r="BK129" s="107"/>
      <c r="BL129" s="107"/>
      <c r="BM129" s="107"/>
      <c r="BN129" s="107"/>
      <c r="BO129" s="106"/>
    </row>
    <row r="130" spans="1:95" ht="17.25" outlineLevel="1" thickBot="1" x14ac:dyDescent="0.35">
      <c r="A130" s="117" t="s">
        <v>341</v>
      </c>
      <c r="B130" s="114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AF130" s="107"/>
      <c r="AG130" s="107"/>
      <c r="AH130" s="107"/>
      <c r="AI130" s="104" t="s">
        <v>440</v>
      </c>
      <c r="AJ130" s="120"/>
      <c r="AK130" s="120"/>
      <c r="AL130" s="120"/>
      <c r="AM130" s="120"/>
      <c r="AN130" s="120"/>
      <c r="AO130" s="120"/>
      <c r="AP130" s="120"/>
      <c r="AQ130" s="120"/>
      <c r="AR130" s="120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6"/>
    </row>
    <row r="131" spans="1:95" ht="17.25" outlineLevel="1" thickBot="1" x14ac:dyDescent="0.35">
      <c r="A131" s="125" t="s">
        <v>343</v>
      </c>
      <c r="B131" s="114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2" t="s">
        <v>441</v>
      </c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V131" s="108"/>
      <c r="AW131" s="108"/>
      <c r="AX131" s="121"/>
      <c r="AY131" s="108"/>
      <c r="AZ131" s="108"/>
      <c r="BA131" s="108"/>
      <c r="BB131" s="108"/>
      <c r="BC131" s="108"/>
      <c r="BD131" s="108"/>
      <c r="BE131" s="108"/>
      <c r="BF131" s="108"/>
      <c r="BG131" s="108"/>
      <c r="BH131" s="108"/>
      <c r="BI131" s="108"/>
      <c r="BJ131" s="108"/>
      <c r="BK131" s="108"/>
      <c r="BL131" s="108"/>
      <c r="BM131" s="108"/>
      <c r="BN131" s="108"/>
      <c r="BO131" s="127"/>
      <c r="BP131" s="108"/>
      <c r="BQ131" s="108"/>
      <c r="BR131" s="108"/>
      <c r="BS131" s="108"/>
      <c r="BT131" s="108"/>
      <c r="BU131" s="108"/>
      <c r="BV131" s="108"/>
      <c r="BW131" s="108"/>
      <c r="BX131" s="108"/>
      <c r="BY131" s="108"/>
      <c r="BZ131" s="108"/>
      <c r="CA131" s="108"/>
      <c r="CB131" s="108"/>
      <c r="CC131" s="108"/>
      <c r="CD131" s="108"/>
      <c r="CE131" s="108"/>
      <c r="CF131" s="108"/>
      <c r="CG131" s="108"/>
      <c r="CH131" s="108"/>
      <c r="CI131" s="108"/>
      <c r="CJ131" s="108"/>
      <c r="CK131" s="108"/>
    </row>
    <row r="132" spans="1:95" ht="17.25" outlineLevel="1" thickBot="1" x14ac:dyDescent="0.35">
      <c r="A132" s="125" t="s">
        <v>402</v>
      </c>
      <c r="B132" s="114"/>
      <c r="C132" s="107"/>
      <c r="D132" s="11"/>
      <c r="E132" s="11"/>
      <c r="F132" s="11"/>
      <c r="G132" s="11"/>
      <c r="H132" s="11"/>
      <c r="I132" s="11"/>
      <c r="J132" s="11"/>
      <c r="K132" s="140"/>
      <c r="L132" s="11"/>
      <c r="M132" s="11"/>
      <c r="N132" s="11"/>
      <c r="O132" s="104" t="s">
        <v>442</v>
      </c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  <c r="AM132" s="131"/>
      <c r="AN132" s="131"/>
      <c r="AO132" s="131"/>
      <c r="AP132" s="131"/>
      <c r="AQ132" s="131"/>
      <c r="AR132" s="131"/>
      <c r="AS132" s="131"/>
      <c r="AT132" s="131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  <c r="BS132" s="108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</row>
    <row r="133" spans="1:95" ht="17.25" outlineLevel="1" thickBot="1" x14ac:dyDescent="0.35">
      <c r="A133" s="125" t="s">
        <v>404</v>
      </c>
      <c r="B133" s="114"/>
      <c r="C133" s="8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23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2" t="s">
        <v>443</v>
      </c>
      <c r="AJ133" s="108"/>
      <c r="AK133" s="108"/>
      <c r="AL133" s="108"/>
      <c r="AM133" s="108"/>
      <c r="AN133" s="108"/>
      <c r="AO133" s="120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8"/>
      <c r="BB133" s="108"/>
      <c r="BC133" s="108"/>
      <c r="BD133" s="108"/>
      <c r="BE133" s="108"/>
      <c r="BF133" s="108"/>
      <c r="BG133" s="108"/>
      <c r="BH133" s="108"/>
      <c r="BI133" s="108"/>
      <c r="BJ133" s="108"/>
      <c r="BK133" s="108"/>
      <c r="BL133" s="108"/>
      <c r="BM133" s="108"/>
      <c r="BN133" s="108"/>
      <c r="BO133" s="127"/>
      <c r="BP133" s="108"/>
      <c r="BQ133" s="108"/>
      <c r="BR133" s="108"/>
      <c r="BS133" s="108"/>
      <c r="BT133" s="108"/>
      <c r="BU133" s="108"/>
      <c r="BV133" s="108"/>
      <c r="BW133" s="108"/>
      <c r="BX133" s="108"/>
      <c r="BY133" s="108"/>
      <c r="BZ133" s="108"/>
      <c r="CA133" s="108"/>
      <c r="CB133" s="108"/>
      <c r="CC133" s="108"/>
      <c r="CD133" s="108"/>
      <c r="CE133" s="108"/>
      <c r="CF133" s="108"/>
      <c r="CG133" s="108"/>
      <c r="CH133" s="108"/>
      <c r="CI133" s="107"/>
      <c r="CJ133" s="107"/>
      <c r="CK133" s="107"/>
      <c r="CL133" s="107"/>
      <c r="CM133" s="107"/>
      <c r="CN133" s="107"/>
      <c r="CO133" s="107"/>
      <c r="CP133" s="107"/>
    </row>
    <row r="134" spans="1:95" ht="17.25" outlineLevel="1" thickBot="1" x14ac:dyDescent="0.35">
      <c r="A134" s="125" t="s">
        <v>406</v>
      </c>
      <c r="B134" s="114"/>
      <c r="C134" s="8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22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23"/>
      <c r="BH134" s="107"/>
      <c r="BI134" s="107"/>
      <c r="BJ134" s="107"/>
      <c r="BK134" s="107"/>
      <c r="BL134" s="107"/>
      <c r="BM134" s="107"/>
      <c r="BN134" s="107"/>
      <c r="BO134" s="106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2" t="s">
        <v>444</v>
      </c>
      <c r="CG134" s="108"/>
      <c r="CH134" s="108"/>
      <c r="CI134" s="108"/>
      <c r="CJ134" s="108"/>
      <c r="CK134" s="108"/>
      <c r="CL134" s="107"/>
      <c r="CM134" s="107"/>
      <c r="CN134" s="107"/>
      <c r="CO134" s="107"/>
      <c r="CP134" s="107"/>
    </row>
    <row r="135" spans="1:95" ht="17.25" outlineLevel="1" thickBot="1" x14ac:dyDescent="0.35">
      <c r="A135" s="126" t="s">
        <v>347</v>
      </c>
      <c r="B135" s="114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6"/>
      <c r="BP135" s="107"/>
      <c r="BQ135" s="107"/>
      <c r="BR135" s="107"/>
      <c r="BS135" s="107"/>
      <c r="BT135" s="107"/>
      <c r="BU135" s="107"/>
      <c r="BV135" s="8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2" t="s">
        <v>445</v>
      </c>
      <c r="CJ135" s="108"/>
      <c r="CK135" s="108"/>
      <c r="CL135" s="108"/>
      <c r="CM135" s="108"/>
      <c r="CN135" s="108"/>
      <c r="CO135" s="108"/>
    </row>
    <row r="136" spans="1:95" ht="17.25" outlineLevel="1" thickBot="1" x14ac:dyDescent="0.35">
      <c r="A136" s="117" t="s">
        <v>349</v>
      </c>
      <c r="B136" s="114"/>
      <c r="BO136" s="106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8"/>
      <c r="CC136" s="107"/>
      <c r="CD136" s="107"/>
      <c r="CE136" s="107"/>
      <c r="CF136" s="107"/>
      <c r="CG136" s="107"/>
      <c r="CH136" s="107"/>
      <c r="CI136" s="12" t="s">
        <v>446</v>
      </c>
      <c r="CJ136" s="108"/>
      <c r="CK136" s="108"/>
      <c r="CL136" s="108"/>
      <c r="CM136" s="108"/>
      <c r="CN136" s="108"/>
      <c r="CO136" s="108"/>
    </row>
    <row r="137" spans="1:95" ht="17.25" outlineLevel="1" thickBot="1" x14ac:dyDescent="0.35">
      <c r="A137" s="117" t="s">
        <v>351</v>
      </c>
      <c r="B137" s="114"/>
      <c r="BO137" s="106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8"/>
      <c r="CD137" s="123"/>
      <c r="CE137" s="123"/>
      <c r="CF137" s="107"/>
      <c r="CG137" s="123"/>
      <c r="CH137" s="107"/>
      <c r="CI137" s="12" t="s">
        <v>447</v>
      </c>
      <c r="CJ137" s="108"/>
      <c r="CK137" s="108"/>
      <c r="CL137" s="108"/>
      <c r="CM137" s="108"/>
      <c r="CN137" s="108"/>
      <c r="CO137" s="108"/>
    </row>
    <row r="138" spans="1:95" ht="17.25" outlineLevel="1" thickBot="1" x14ac:dyDescent="0.35">
      <c r="A138" s="117" t="s">
        <v>353</v>
      </c>
      <c r="B138" s="114"/>
      <c r="BO138" s="106"/>
      <c r="BP138" s="107"/>
      <c r="BQ138" s="107"/>
      <c r="BR138" s="107"/>
      <c r="BS138" s="107"/>
      <c r="BT138" s="107"/>
      <c r="BU138" s="107"/>
      <c r="BV138" s="107"/>
      <c r="BW138" s="107"/>
      <c r="BX138" s="122"/>
      <c r="BY138" s="107"/>
      <c r="BZ138" s="107"/>
      <c r="CA138" s="107"/>
      <c r="CB138" s="107"/>
      <c r="CC138" s="107"/>
      <c r="CD138" s="107"/>
      <c r="CE138" s="107"/>
      <c r="CF138" s="107"/>
      <c r="CG138" s="8"/>
      <c r="CH138" s="107"/>
      <c r="CI138" s="12" t="s">
        <v>448</v>
      </c>
      <c r="CJ138" s="108"/>
      <c r="CK138" s="108"/>
      <c r="CL138" s="108"/>
      <c r="CM138" s="12"/>
      <c r="CN138" s="108"/>
      <c r="CO138" s="108"/>
    </row>
    <row r="139" spans="1:95" ht="17.25" outlineLevel="1" thickBot="1" x14ac:dyDescent="0.35">
      <c r="A139" s="125" t="s">
        <v>355</v>
      </c>
      <c r="B139" s="114"/>
      <c r="BO139" s="106"/>
      <c r="BP139" s="107"/>
      <c r="BQ139" s="107"/>
      <c r="BR139" s="107"/>
      <c r="BS139" s="107"/>
      <c r="BT139" s="107"/>
      <c r="BU139" s="107"/>
      <c r="BV139" s="107"/>
      <c r="BW139" s="107"/>
      <c r="BX139" s="107"/>
      <c r="BY139" s="107"/>
      <c r="BZ139" s="107"/>
      <c r="CA139" s="107"/>
      <c r="CB139" s="107"/>
      <c r="CC139" s="107"/>
      <c r="CD139" s="107"/>
      <c r="CE139" s="107"/>
      <c r="CF139" s="107"/>
      <c r="CG139" s="107"/>
      <c r="CH139" s="107"/>
      <c r="CI139" s="107"/>
      <c r="CJ139" s="107"/>
      <c r="CO139" s="141" t="s">
        <v>326</v>
      </c>
    </row>
    <row r="140" spans="1:95" ht="17.25" thickBot="1" x14ac:dyDescent="0.35">
      <c r="A140" s="111" t="s">
        <v>449</v>
      </c>
      <c r="B140" s="112"/>
      <c r="C140" s="114"/>
      <c r="D140" s="114"/>
      <c r="E140" s="114"/>
      <c r="F140" s="114"/>
      <c r="G140" s="9"/>
      <c r="H140" s="9"/>
      <c r="I140" s="9"/>
      <c r="J140" s="9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4"/>
      <c r="BD140" s="114"/>
      <c r="BE140" s="114"/>
      <c r="BF140" s="114"/>
      <c r="BG140" s="114"/>
      <c r="BH140" s="114"/>
      <c r="BI140" s="114"/>
      <c r="BJ140" s="114"/>
      <c r="BK140" s="114"/>
      <c r="BL140" s="114"/>
      <c r="BM140" s="114"/>
      <c r="BN140" s="114"/>
      <c r="BO140" s="106"/>
      <c r="BP140" s="114"/>
      <c r="BQ140" s="114"/>
      <c r="BR140" s="114"/>
      <c r="BS140" s="114"/>
      <c r="BT140" s="114"/>
      <c r="BU140" s="114"/>
      <c r="BV140" s="114"/>
      <c r="BW140" s="114"/>
      <c r="BX140" s="114"/>
      <c r="BY140" s="114"/>
      <c r="BZ140" s="114"/>
      <c r="CA140" s="114"/>
      <c r="CB140" s="114"/>
      <c r="CC140" s="114"/>
      <c r="CD140" s="114"/>
      <c r="CE140" s="114"/>
      <c r="CF140" s="114"/>
      <c r="CG140" s="114"/>
      <c r="CH140" s="114"/>
      <c r="CI140" s="114"/>
      <c r="CJ140" s="114"/>
      <c r="CK140" s="10"/>
      <c r="CL140" s="10"/>
      <c r="CM140" s="10"/>
      <c r="CN140" s="10"/>
      <c r="CO140" s="10"/>
      <c r="CP140" s="10"/>
      <c r="CQ140" s="174"/>
    </row>
    <row r="141" spans="1:95" ht="17.25" outlineLevel="1" thickBot="1" x14ac:dyDescent="0.35">
      <c r="A141" s="117" t="s">
        <v>327</v>
      </c>
      <c r="B141" s="118"/>
      <c r="C141" s="122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BO141" s="106"/>
    </row>
    <row r="142" spans="1:95" ht="17.25" outlineLevel="1" thickBot="1" x14ac:dyDescent="0.35">
      <c r="A142" s="117" t="s">
        <v>330</v>
      </c>
      <c r="B142" s="119"/>
      <c r="C142" s="108" t="s">
        <v>450</v>
      </c>
      <c r="D142" s="108"/>
      <c r="E142" s="108"/>
      <c r="F142" s="108"/>
      <c r="G142" s="12"/>
      <c r="H142" s="108"/>
      <c r="I142" s="108"/>
      <c r="J142" s="120"/>
      <c r="K142" s="120"/>
      <c r="L142" s="120"/>
      <c r="M142" s="120"/>
      <c r="N142" s="120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08"/>
      <c r="BB142" s="108"/>
      <c r="BC142" s="108"/>
      <c r="BD142" s="108"/>
      <c r="BE142" s="108"/>
      <c r="BF142" s="108"/>
      <c r="BO142" s="106"/>
    </row>
    <row r="143" spans="1:95" ht="17.25" outlineLevel="1" thickBot="1" x14ac:dyDescent="0.35">
      <c r="A143" s="117" t="s">
        <v>333</v>
      </c>
      <c r="B143" s="119"/>
      <c r="C143" s="135" t="s">
        <v>328</v>
      </c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BO143" s="106"/>
    </row>
    <row r="144" spans="1:95" ht="17.25" outlineLevel="1" thickBot="1" x14ac:dyDescent="0.35">
      <c r="A144" s="117" t="s">
        <v>334</v>
      </c>
      <c r="B144" s="119"/>
      <c r="C144" s="12" t="s">
        <v>451</v>
      </c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7"/>
      <c r="P144" s="107"/>
      <c r="Q144" s="107"/>
      <c r="R144" s="107"/>
      <c r="S144" s="107"/>
      <c r="T144" s="107"/>
      <c r="U144" s="107"/>
      <c r="BO144" s="106"/>
    </row>
    <row r="145" spans="1:95" ht="17.25" outlineLevel="1" thickBot="1" x14ac:dyDescent="0.35">
      <c r="A145" s="117" t="s">
        <v>335</v>
      </c>
      <c r="B145" s="118"/>
      <c r="C145" s="107"/>
      <c r="D145" s="107"/>
      <c r="E145" s="107"/>
      <c r="F145" s="107"/>
      <c r="G145" s="107"/>
      <c r="H145" s="107"/>
      <c r="I145" s="107"/>
      <c r="J145" s="107"/>
      <c r="K145" s="155" t="s">
        <v>397</v>
      </c>
      <c r="L145" s="153"/>
      <c r="M145" s="153"/>
      <c r="N145" s="153"/>
      <c r="O145" s="153"/>
      <c r="P145" s="153"/>
      <c r="Q145" s="153"/>
      <c r="R145" s="153"/>
      <c r="S145" s="153"/>
      <c r="T145" s="152"/>
      <c r="U145" s="152"/>
      <c r="W145" s="152"/>
      <c r="Y145" s="107"/>
      <c r="BO145" s="106"/>
    </row>
    <row r="146" spans="1:95" ht="18" outlineLevel="1" thickTop="1" thickBot="1" x14ac:dyDescent="0.35">
      <c r="A146" s="117" t="s">
        <v>336</v>
      </c>
      <c r="B146" s="118"/>
      <c r="C146" s="107"/>
      <c r="D146" s="107"/>
      <c r="E146" s="107"/>
      <c r="F146" s="107"/>
      <c r="G146" s="107"/>
      <c r="H146" s="107"/>
      <c r="I146" s="107"/>
      <c r="J146" s="157"/>
      <c r="K146" s="155" t="s">
        <v>398</v>
      </c>
      <c r="L146" s="153"/>
      <c r="M146" s="153"/>
      <c r="N146" s="153"/>
      <c r="O146" s="153"/>
      <c r="P146" s="153"/>
      <c r="Q146" s="153"/>
      <c r="R146" s="153"/>
      <c r="S146" s="153"/>
      <c r="T146" s="152"/>
      <c r="U146" s="145"/>
      <c r="V146" s="189"/>
      <c r="W146" s="190"/>
      <c r="Y146" s="107"/>
      <c r="BO146" s="106"/>
    </row>
    <row r="147" spans="1:95" ht="18" outlineLevel="1" thickTop="1" thickBot="1" x14ac:dyDescent="0.35">
      <c r="A147" s="117" t="s">
        <v>337</v>
      </c>
      <c r="B147" s="119"/>
      <c r="C147" s="156" t="s">
        <v>452</v>
      </c>
      <c r="D147" s="144"/>
      <c r="E147" s="144"/>
      <c r="F147" s="144"/>
      <c r="G147" s="144"/>
      <c r="H147" s="144"/>
      <c r="I147" s="144"/>
      <c r="J147" s="144"/>
      <c r="K147" s="188"/>
      <c r="L147" s="152"/>
      <c r="M147" s="152"/>
      <c r="N147" s="152"/>
      <c r="O147" s="152"/>
      <c r="P147" s="152"/>
      <c r="Q147" s="152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6"/>
    </row>
    <row r="148" spans="1:95" ht="17.25" outlineLevel="1" thickBot="1" x14ac:dyDescent="0.35">
      <c r="A148" s="125" t="s">
        <v>339</v>
      </c>
      <c r="B148" s="114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23"/>
      <c r="T148" s="123"/>
      <c r="U148" s="123"/>
      <c r="V148" s="104" t="s">
        <v>453</v>
      </c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20"/>
      <c r="AG148" s="108"/>
      <c r="AH148" s="108"/>
      <c r="AI148" s="108"/>
      <c r="AJ148" s="108"/>
      <c r="AK148" s="108"/>
      <c r="AL148" s="108"/>
      <c r="AM148" s="108"/>
      <c r="AN148" s="108"/>
      <c r="AO148" s="107"/>
      <c r="AP148" s="107"/>
      <c r="AQ148" s="107"/>
      <c r="AR148" s="107"/>
      <c r="AS148" s="107"/>
      <c r="AT148" s="107"/>
      <c r="AU148" s="107"/>
      <c r="AV148" s="107"/>
      <c r="AW148" s="107"/>
      <c r="AX148" s="107"/>
      <c r="AY148" s="107"/>
      <c r="AZ148" s="107"/>
      <c r="BA148" s="107"/>
      <c r="BB148" s="107"/>
      <c r="BC148" s="107"/>
      <c r="BD148" s="107"/>
      <c r="BE148" s="107"/>
      <c r="BF148" s="107"/>
      <c r="BG148" s="107"/>
      <c r="BH148" s="107"/>
      <c r="BI148" s="107"/>
      <c r="BJ148" s="107"/>
      <c r="BK148" s="107"/>
      <c r="BL148" s="107"/>
      <c r="BM148" s="107"/>
      <c r="BN148" s="107"/>
      <c r="BO148" s="106"/>
    </row>
    <row r="149" spans="1:95" ht="17.25" outlineLevel="1" thickBot="1" x14ac:dyDescent="0.35">
      <c r="A149" s="117" t="s">
        <v>341</v>
      </c>
      <c r="B149" s="114"/>
      <c r="C149" s="107"/>
      <c r="D149" s="107"/>
      <c r="E149" s="107"/>
      <c r="F149" s="107"/>
      <c r="G149" s="12" t="s">
        <v>454</v>
      </c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2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27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</row>
    <row r="150" spans="1:95" ht="17.25" outlineLevel="1" thickBot="1" x14ac:dyDescent="0.35">
      <c r="A150" s="125" t="s">
        <v>343</v>
      </c>
      <c r="B150" s="114"/>
      <c r="AI150" s="108" t="s">
        <v>455</v>
      </c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108"/>
      <c r="BB150" s="108"/>
      <c r="BC150" s="108"/>
      <c r="BD150" s="108"/>
      <c r="BE150" s="108"/>
      <c r="BF150" s="108"/>
      <c r="BG150" s="108"/>
      <c r="BH150" s="108"/>
      <c r="BI150" s="108"/>
      <c r="BJ150" s="108"/>
      <c r="BK150" s="108"/>
      <c r="BL150" s="108"/>
      <c r="BM150" s="108"/>
      <c r="BN150" s="108"/>
      <c r="BO150" s="127"/>
      <c r="BP150" s="108"/>
      <c r="BQ150" s="108"/>
      <c r="BR150" s="108"/>
      <c r="BS150" s="108"/>
      <c r="BT150" s="108"/>
      <c r="BU150" s="108"/>
      <c r="BV150" s="108"/>
      <c r="BW150" s="108"/>
      <c r="BX150" s="108"/>
      <c r="BY150" s="108"/>
      <c r="BZ150" s="108"/>
      <c r="CA150" s="108"/>
      <c r="CB150" s="108"/>
      <c r="CC150" s="108"/>
      <c r="CD150" s="108"/>
      <c r="CE150" s="108"/>
      <c r="CF150" s="108"/>
      <c r="CG150" s="108"/>
      <c r="CH150" s="108"/>
      <c r="CI150" s="108"/>
      <c r="CJ150" s="108"/>
      <c r="CK150" s="108"/>
    </row>
    <row r="151" spans="1:95" ht="17.25" outlineLevel="1" thickBot="1" x14ac:dyDescent="0.35">
      <c r="A151" s="125" t="s">
        <v>402</v>
      </c>
      <c r="B151" s="114"/>
      <c r="C151" s="104" t="s">
        <v>456</v>
      </c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07"/>
      <c r="AV151" s="107"/>
      <c r="AW151" s="107"/>
      <c r="AX151" s="107"/>
      <c r="AY151" s="107"/>
      <c r="AZ151" s="107"/>
      <c r="BA151" s="107"/>
      <c r="BB151" s="107"/>
      <c r="BC151" s="107"/>
      <c r="BD151" s="107"/>
      <c r="BE151" s="107"/>
      <c r="BF151" s="107"/>
      <c r="BG151" s="107"/>
      <c r="BH151" s="107"/>
      <c r="BI151" s="107"/>
      <c r="BJ151" s="107"/>
      <c r="BK151" s="107"/>
      <c r="BL151" s="107"/>
      <c r="BM151" s="107"/>
      <c r="BN151" s="107"/>
      <c r="BO151" s="106"/>
      <c r="BP151" s="107"/>
      <c r="BQ151" s="107"/>
      <c r="BR151" s="107"/>
      <c r="BS151" s="107"/>
      <c r="BT151" s="107"/>
      <c r="BU151" s="107"/>
      <c r="BV151" s="107"/>
      <c r="BW151" s="107"/>
      <c r="BX151" s="107"/>
      <c r="BY151" s="107"/>
      <c r="BZ151" s="107"/>
      <c r="CA151" s="107"/>
      <c r="CB151" s="107"/>
      <c r="CC151" s="107"/>
      <c r="CD151" s="107"/>
      <c r="CE151" s="107"/>
      <c r="CF151" s="107"/>
      <c r="CG151" s="107"/>
      <c r="CH151" s="107"/>
      <c r="CI151" s="107"/>
      <c r="CJ151" s="107"/>
      <c r="CK151" s="107"/>
      <c r="CL151" s="107"/>
      <c r="CM151" s="107"/>
      <c r="CN151" s="107"/>
      <c r="CO151" s="107"/>
      <c r="CP151" s="107"/>
    </row>
    <row r="152" spans="1:95" ht="17.25" outlineLevel="1" thickBot="1" x14ac:dyDescent="0.35">
      <c r="A152" s="125" t="s">
        <v>404</v>
      </c>
      <c r="B152" s="114"/>
      <c r="C152" s="8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2" t="s">
        <v>405</v>
      </c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20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  <c r="BA152" s="108"/>
      <c r="BB152" s="108"/>
      <c r="BC152" s="108"/>
      <c r="BD152" s="108"/>
      <c r="BE152" s="108"/>
      <c r="BF152" s="108"/>
      <c r="BG152" s="108"/>
      <c r="BH152" s="108"/>
      <c r="BI152" s="108"/>
      <c r="BJ152" s="108"/>
      <c r="BK152" s="108"/>
      <c r="BL152" s="108"/>
      <c r="BM152" s="108"/>
      <c r="BN152" s="108"/>
      <c r="BO152" s="127"/>
      <c r="BP152" s="108"/>
      <c r="BQ152" s="108"/>
      <c r="BR152" s="108"/>
      <c r="BS152" s="108"/>
      <c r="BT152" s="107"/>
      <c r="BU152" s="107"/>
      <c r="BV152" s="107"/>
      <c r="BW152" s="107"/>
      <c r="BX152" s="107"/>
      <c r="BY152" s="107"/>
      <c r="BZ152" s="107"/>
      <c r="CA152" s="107"/>
      <c r="CB152" s="107"/>
      <c r="CC152" s="107"/>
      <c r="CD152" s="107"/>
      <c r="CE152" s="107"/>
      <c r="CF152" s="107"/>
      <c r="CG152" s="107"/>
      <c r="CH152" s="107"/>
      <c r="CI152" s="107"/>
      <c r="CJ152" s="107"/>
      <c r="CK152" s="107"/>
      <c r="CL152" s="107"/>
      <c r="CM152" s="107"/>
      <c r="CN152" s="107"/>
      <c r="CO152" s="107"/>
      <c r="CP152" s="107"/>
    </row>
    <row r="153" spans="1:95" ht="17.25" outlineLevel="1" thickBot="1" x14ac:dyDescent="0.35">
      <c r="A153" s="125" t="s">
        <v>406</v>
      </c>
      <c r="B153" s="114"/>
      <c r="C153" s="8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22"/>
      <c r="AP153" s="107"/>
      <c r="AQ153" s="107"/>
      <c r="AR153" s="107"/>
      <c r="AS153" s="107"/>
      <c r="AT153" s="107"/>
      <c r="AU153" s="107"/>
      <c r="AV153" s="107"/>
      <c r="AW153" s="107"/>
      <c r="AX153" s="107"/>
      <c r="AY153" s="107"/>
      <c r="AZ153" s="107"/>
      <c r="BA153" s="107"/>
      <c r="BB153" s="107"/>
      <c r="BC153" s="107"/>
      <c r="BD153" s="107"/>
      <c r="BE153" s="107"/>
      <c r="BF153" s="107"/>
      <c r="BG153" s="12" t="s">
        <v>457</v>
      </c>
      <c r="BH153" s="108"/>
      <c r="BI153" s="108"/>
      <c r="BJ153" s="108"/>
      <c r="BK153" s="108"/>
      <c r="BL153" s="108"/>
      <c r="BM153" s="108"/>
      <c r="BN153" s="108"/>
      <c r="BO153" s="127"/>
      <c r="BP153" s="108"/>
      <c r="BQ153" s="108"/>
      <c r="BR153" s="108"/>
      <c r="BS153" s="108"/>
      <c r="BT153" s="108"/>
      <c r="BU153" s="108"/>
      <c r="BV153" s="108"/>
      <c r="BW153" s="108"/>
      <c r="BX153" s="108"/>
      <c r="BY153" s="108"/>
      <c r="BZ153" s="108"/>
      <c r="CA153" s="108"/>
      <c r="CB153" s="108"/>
      <c r="CC153" s="108"/>
      <c r="CD153" s="108"/>
      <c r="CE153" s="108"/>
      <c r="CF153" s="107"/>
      <c r="CG153" s="107"/>
      <c r="CH153" s="107"/>
      <c r="CI153" s="107"/>
      <c r="CJ153" s="107"/>
      <c r="CK153" s="107"/>
      <c r="CL153" s="107"/>
      <c r="CM153" s="107"/>
      <c r="CN153" s="107"/>
      <c r="CO153" s="107"/>
      <c r="CP153" s="107"/>
    </row>
    <row r="154" spans="1:95" ht="17.25" outlineLevel="1" thickBot="1" x14ac:dyDescent="0.35">
      <c r="A154" s="126" t="s">
        <v>347</v>
      </c>
      <c r="B154" s="114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7"/>
      <c r="AY154" s="107"/>
      <c r="AZ154" s="107"/>
      <c r="BA154" s="107"/>
      <c r="BB154" s="107"/>
      <c r="BC154" s="107"/>
      <c r="BD154" s="107"/>
      <c r="BE154" s="107"/>
      <c r="BF154" s="107"/>
      <c r="BG154" s="107"/>
      <c r="BH154" s="107"/>
      <c r="BI154" s="107"/>
      <c r="BJ154" s="107"/>
      <c r="BK154" s="107"/>
      <c r="BL154" s="107"/>
      <c r="BM154" s="107"/>
      <c r="BN154" s="107"/>
      <c r="BO154" s="106"/>
      <c r="BP154" s="107"/>
      <c r="BQ154" s="107"/>
      <c r="BR154" s="107"/>
      <c r="BS154" s="107"/>
      <c r="BT154" s="107"/>
      <c r="BU154" s="107"/>
      <c r="BV154" s="8"/>
      <c r="BW154" s="107"/>
      <c r="BX154" s="107"/>
      <c r="BY154" s="107"/>
      <c r="BZ154" s="107"/>
      <c r="CA154" s="107"/>
      <c r="CB154" s="107"/>
      <c r="CC154" s="107"/>
      <c r="CD154" s="107"/>
      <c r="CE154" s="107"/>
      <c r="CF154" s="107"/>
      <c r="CG154" s="107"/>
      <c r="CH154" s="107"/>
      <c r="CI154" s="12" t="s">
        <v>445</v>
      </c>
      <c r="CJ154" s="108"/>
      <c r="CK154" s="108"/>
      <c r="CL154" s="108"/>
      <c r="CM154" s="108"/>
      <c r="CN154" s="108"/>
      <c r="CO154" s="108"/>
      <c r="CP154" s="108"/>
      <c r="CQ154" s="108"/>
    </row>
    <row r="155" spans="1:95" ht="17.25" outlineLevel="1" thickBot="1" x14ac:dyDescent="0.35">
      <c r="A155" s="117" t="s">
        <v>349</v>
      </c>
      <c r="B155" s="114"/>
      <c r="BO155" s="106"/>
      <c r="BP155" s="107"/>
      <c r="BQ155" s="107"/>
      <c r="BR155" s="107"/>
      <c r="BS155" s="107"/>
      <c r="BT155" s="107"/>
      <c r="BU155" s="107"/>
      <c r="BV155" s="107"/>
      <c r="BW155" s="107"/>
      <c r="BX155" s="107"/>
      <c r="BY155" s="107"/>
      <c r="BZ155" s="107"/>
      <c r="CA155" s="107"/>
      <c r="CB155" s="8"/>
      <c r="CC155" s="107"/>
      <c r="CD155" s="107"/>
      <c r="CE155" s="107"/>
      <c r="CF155" s="107"/>
      <c r="CG155" s="107"/>
      <c r="CH155" s="107"/>
      <c r="CI155" s="12" t="s">
        <v>446</v>
      </c>
      <c r="CJ155" s="108"/>
      <c r="CK155" s="108"/>
      <c r="CL155" s="108"/>
      <c r="CM155" s="108"/>
      <c r="CN155" s="108"/>
      <c r="CO155" s="108"/>
      <c r="CP155" s="108"/>
      <c r="CQ155" s="108"/>
    </row>
    <row r="156" spans="1:95" ht="17.25" outlineLevel="1" thickBot="1" x14ac:dyDescent="0.35">
      <c r="A156" s="117" t="s">
        <v>351</v>
      </c>
      <c r="B156" s="114"/>
      <c r="BO156" s="106"/>
      <c r="BP156" s="107"/>
      <c r="BQ156" s="107"/>
      <c r="BR156" s="107"/>
      <c r="BS156" s="107"/>
      <c r="BT156" s="107"/>
      <c r="BU156" s="107"/>
      <c r="BV156" s="107"/>
      <c r="BW156" s="107"/>
      <c r="BX156" s="107"/>
      <c r="BY156" s="107"/>
      <c r="BZ156" s="107"/>
      <c r="CA156" s="107"/>
      <c r="CB156" s="107"/>
      <c r="CC156" s="8"/>
      <c r="CD156" s="123"/>
      <c r="CE156" s="123"/>
      <c r="CF156" s="107"/>
      <c r="CG156" s="123"/>
      <c r="CH156" s="107"/>
      <c r="CI156" s="12" t="s">
        <v>447</v>
      </c>
      <c r="CJ156" s="108"/>
      <c r="CK156" s="108"/>
      <c r="CL156" s="108"/>
      <c r="CM156" s="108"/>
      <c r="CN156" s="108"/>
      <c r="CO156" s="108"/>
      <c r="CP156" s="108"/>
      <c r="CQ156" s="108"/>
    </row>
    <row r="157" spans="1:95" ht="17.25" outlineLevel="1" thickBot="1" x14ac:dyDescent="0.35">
      <c r="A157" s="117" t="s">
        <v>353</v>
      </c>
      <c r="B157" s="114"/>
      <c r="BO157" s="106"/>
      <c r="BP157" s="107"/>
      <c r="BQ157" s="107"/>
      <c r="BR157" s="107"/>
      <c r="BS157" s="107"/>
      <c r="BT157" s="107"/>
      <c r="BU157" s="107"/>
      <c r="BV157" s="107"/>
      <c r="BW157" s="107"/>
      <c r="BX157" s="122"/>
      <c r="BY157" s="107"/>
      <c r="BZ157" s="107"/>
      <c r="CA157" s="107"/>
      <c r="CB157" s="107"/>
      <c r="CC157" s="107"/>
      <c r="CD157" s="107"/>
      <c r="CE157" s="107"/>
      <c r="CF157" s="107"/>
      <c r="CG157" s="8"/>
      <c r="CH157" s="107"/>
      <c r="CI157" s="12" t="s">
        <v>448</v>
      </c>
      <c r="CJ157" s="108"/>
      <c r="CK157" s="108"/>
      <c r="CL157" s="108"/>
      <c r="CM157" s="12"/>
      <c r="CN157" s="108"/>
      <c r="CO157" s="12"/>
      <c r="CP157" s="108"/>
      <c r="CQ157" s="108"/>
    </row>
    <row r="158" spans="1:95" ht="17.25" outlineLevel="1" thickBot="1" x14ac:dyDescent="0.35">
      <c r="A158" s="125" t="s">
        <v>355</v>
      </c>
      <c r="B158" s="114"/>
      <c r="BO158" s="106"/>
      <c r="BP158" s="107"/>
      <c r="BQ158" s="107"/>
      <c r="BR158" s="107"/>
      <c r="BS158" s="107"/>
      <c r="BT158" s="107"/>
      <c r="BU158" s="107"/>
      <c r="BV158" s="107"/>
      <c r="BW158" s="107"/>
      <c r="BX158" s="107"/>
      <c r="BY158" s="107"/>
      <c r="BZ158" s="107"/>
      <c r="CA158" s="107"/>
      <c r="CB158" s="107"/>
      <c r="CC158" s="107"/>
      <c r="CD158" s="107"/>
      <c r="CE158" s="107"/>
      <c r="CF158" s="107"/>
      <c r="CG158" s="107"/>
      <c r="CH158" s="107"/>
      <c r="CI158" s="107"/>
      <c r="CJ158" s="107"/>
      <c r="CQ158" s="141" t="s">
        <v>326</v>
      </c>
    </row>
    <row r="159" spans="1:95" ht="17.25" thickBot="1" x14ac:dyDescent="0.35">
      <c r="A159" s="111" t="s">
        <v>16</v>
      </c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4"/>
      <c r="AW159" s="114"/>
      <c r="AX159" s="114"/>
      <c r="AY159" s="114"/>
      <c r="AZ159" s="114"/>
      <c r="BA159" s="114"/>
      <c r="BB159" s="114"/>
      <c r="BC159" s="114"/>
      <c r="BD159" s="114"/>
      <c r="BE159" s="114"/>
      <c r="BF159" s="114"/>
      <c r="BG159" s="114"/>
      <c r="BH159" s="114"/>
      <c r="BI159" s="114"/>
      <c r="BJ159" s="114"/>
      <c r="BK159" s="114"/>
      <c r="BL159" s="114"/>
      <c r="BM159" s="114"/>
      <c r="BN159" s="114"/>
      <c r="BO159" s="106"/>
      <c r="BP159" s="114"/>
      <c r="BQ159" s="114"/>
      <c r="BR159" s="114"/>
      <c r="BS159" s="114"/>
      <c r="BT159" s="114"/>
      <c r="BU159" s="114"/>
      <c r="BV159" s="114"/>
      <c r="BW159" s="114"/>
      <c r="BX159" s="114"/>
      <c r="BY159" s="114"/>
      <c r="BZ159" s="114"/>
      <c r="CA159" s="114"/>
      <c r="CB159" s="114"/>
      <c r="CC159" s="114"/>
      <c r="CD159" s="114"/>
      <c r="CE159" s="114"/>
      <c r="CF159" s="114"/>
      <c r="CG159" s="114"/>
      <c r="CH159" s="114"/>
      <c r="CI159" s="114"/>
      <c r="CJ159" s="114"/>
      <c r="CK159" s="114"/>
      <c r="CL159" s="114"/>
      <c r="CM159" s="114"/>
      <c r="CN159" s="114"/>
      <c r="CO159" s="114"/>
      <c r="CP159" s="114"/>
      <c r="CQ159" s="114"/>
    </row>
    <row r="160" spans="1:95" ht="17.25" thickBot="1" x14ac:dyDescent="0.35">
      <c r="A160" s="111" t="s">
        <v>458</v>
      </c>
      <c r="BD160" s="107"/>
      <c r="BE160" s="107"/>
      <c r="BF160" s="107"/>
      <c r="BG160" s="107"/>
      <c r="BH160" s="107"/>
      <c r="BI160" s="107"/>
      <c r="BJ160" s="107"/>
      <c r="BK160" s="107"/>
      <c r="BL160" s="107"/>
      <c r="BM160" s="107"/>
      <c r="BN160" s="107"/>
      <c r="BO160" s="109"/>
      <c r="BP160" s="107"/>
      <c r="BQ160" s="107"/>
    </row>
    <row r="161" spans="1:69" x14ac:dyDescent="0.3">
      <c r="A161" t="s">
        <v>459</v>
      </c>
      <c r="BD161" s="107"/>
      <c r="BE161" s="107"/>
      <c r="BF161" s="107"/>
      <c r="BG161" s="107"/>
      <c r="BH161" s="107"/>
      <c r="BI161" s="107"/>
      <c r="BJ161" s="107"/>
      <c r="BK161" s="107"/>
      <c r="BL161" s="107"/>
      <c r="BM161" s="107"/>
      <c r="BN161" s="107"/>
      <c r="BO161" s="107"/>
      <c r="BP161" s="107"/>
      <c r="BQ161" s="107"/>
    </row>
    <row r="162" spans="1:69" x14ac:dyDescent="0.3">
      <c r="BD162" s="107"/>
      <c r="BE162" s="107"/>
      <c r="BF162" s="107"/>
      <c r="BG162" s="107"/>
      <c r="BH162" s="107"/>
      <c r="BI162" s="107"/>
      <c r="BJ162" s="107"/>
      <c r="BK162" s="107"/>
      <c r="BL162" s="107"/>
      <c r="BM162" s="107"/>
      <c r="BN162" s="107"/>
      <c r="BO162" s="107"/>
      <c r="BP162" s="107"/>
      <c r="BQ162" s="10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EC73-E8CF-42F9-BDD3-F1056DB9CE36}">
  <dimension ref="A1:U127"/>
  <sheetViews>
    <sheetView workbookViewId="0">
      <selection activeCell="C14" sqref="C14"/>
    </sheetView>
  </sheetViews>
  <sheetFormatPr defaultColWidth="9.125" defaultRowHeight="16.5" x14ac:dyDescent="0.3"/>
  <cols>
    <col min="1" max="1" width="13.5" style="85" customWidth="1"/>
    <col min="2" max="2" width="47.75" style="85" customWidth="1"/>
    <col min="3" max="3" width="31.5" style="85" customWidth="1"/>
    <col min="4" max="4" width="28.75" style="85" customWidth="1"/>
    <col min="5" max="5" width="15.125" style="85" customWidth="1"/>
    <col min="6" max="6" width="28.5" style="86" customWidth="1"/>
    <col min="7" max="7" width="40.375" style="86" customWidth="1"/>
    <col min="8" max="8" width="30.75" style="86" customWidth="1"/>
    <col min="9" max="9" width="15.375" style="28" customWidth="1"/>
    <col min="10" max="10" width="17.75" style="28" customWidth="1"/>
    <col min="11" max="11" width="15.375" style="28" customWidth="1"/>
    <col min="12" max="12" width="14.125" style="28" customWidth="1"/>
    <col min="13" max="13" width="8.75" style="28" customWidth="1"/>
    <col min="14" max="14" width="13.75" style="28" customWidth="1"/>
    <col min="15" max="15" width="10.5" style="28" customWidth="1"/>
    <col min="16" max="16" width="10.75" style="28" customWidth="1"/>
    <col min="17" max="17" width="12.75" style="28" customWidth="1"/>
    <col min="18" max="18" width="6.75" style="85" customWidth="1"/>
    <col min="19" max="19" width="6.75" style="86" customWidth="1"/>
    <col min="20" max="20" width="17.5" style="28" customWidth="1"/>
    <col min="21" max="16384" width="9.125" style="28"/>
  </cols>
  <sheetData>
    <row r="1" spans="1:21" s="16" customFormat="1" ht="43.5" customHeight="1" x14ac:dyDescent="0.3">
      <c r="A1" s="13" t="s">
        <v>460</v>
      </c>
      <c r="B1" s="13" t="s">
        <v>72</v>
      </c>
      <c r="C1" s="13" t="s">
        <v>461</v>
      </c>
      <c r="D1" s="13" t="s">
        <v>462</v>
      </c>
      <c r="E1" s="13" t="s">
        <v>463</v>
      </c>
      <c r="F1" s="14" t="s">
        <v>74</v>
      </c>
      <c r="G1" s="14" t="s">
        <v>75</v>
      </c>
      <c r="H1" s="14" t="s">
        <v>76</v>
      </c>
      <c r="I1" s="13" t="s">
        <v>52</v>
      </c>
      <c r="J1" s="13" t="s">
        <v>464</v>
      </c>
      <c r="K1" s="13" t="s">
        <v>465</v>
      </c>
      <c r="L1" s="13" t="s">
        <v>466</v>
      </c>
      <c r="M1" s="13" t="s">
        <v>467</v>
      </c>
      <c r="N1" s="13" t="s">
        <v>311</v>
      </c>
      <c r="O1" s="13" t="s">
        <v>468</v>
      </c>
      <c r="P1" s="13" t="s">
        <v>469</v>
      </c>
      <c r="Q1" s="13" t="s">
        <v>470</v>
      </c>
      <c r="R1" s="13" t="s">
        <v>471</v>
      </c>
      <c r="S1" s="14" t="s">
        <v>472</v>
      </c>
      <c r="T1" s="13" t="s">
        <v>473</v>
      </c>
      <c r="U1" s="15"/>
    </row>
    <row r="2" spans="1:21" ht="28.5" customHeight="1" x14ac:dyDescent="0.3">
      <c r="A2" s="92" t="s">
        <v>474</v>
      </c>
      <c r="B2" s="90"/>
      <c r="C2" s="93"/>
      <c r="D2" s="90"/>
      <c r="E2" s="90"/>
      <c r="F2" s="90"/>
      <c r="G2" s="90"/>
      <c r="H2" s="91"/>
      <c r="I2" s="18" t="s">
        <v>475</v>
      </c>
      <c r="J2" s="18"/>
      <c r="K2" s="19" t="s">
        <v>474</v>
      </c>
      <c r="L2" s="18" t="s">
        <v>476</v>
      </c>
      <c r="M2" s="20" t="s">
        <v>477</v>
      </c>
      <c r="N2" s="20" t="s">
        <v>478</v>
      </c>
      <c r="O2" s="21">
        <v>254</v>
      </c>
      <c r="P2" s="22" t="s">
        <v>479</v>
      </c>
      <c r="Q2" s="23" t="s">
        <v>480</v>
      </c>
      <c r="R2" s="24" t="s">
        <v>481</v>
      </c>
      <c r="S2" s="25">
        <v>20</v>
      </c>
      <c r="T2" s="26">
        <v>44712</v>
      </c>
      <c r="U2" s="27"/>
    </row>
    <row r="3" spans="1:21" x14ac:dyDescent="0.3">
      <c r="A3" s="30" t="s">
        <v>80</v>
      </c>
      <c r="B3" s="30" t="s">
        <v>185</v>
      </c>
      <c r="C3" s="30"/>
      <c r="D3" s="30"/>
      <c r="E3" s="30"/>
      <c r="F3" s="32" t="s">
        <v>133</v>
      </c>
      <c r="G3" s="32" t="s">
        <v>482</v>
      </c>
      <c r="H3" s="32"/>
      <c r="I3" s="30"/>
      <c r="J3" s="30"/>
      <c r="K3" s="30"/>
      <c r="L3" s="30"/>
      <c r="M3" s="29"/>
      <c r="N3" s="29"/>
      <c r="O3" s="29"/>
      <c r="P3" s="29"/>
      <c r="Q3" s="29"/>
      <c r="R3" s="30"/>
      <c r="S3" s="31"/>
      <c r="T3" s="29"/>
      <c r="U3" s="27"/>
    </row>
    <row r="4" spans="1:21" x14ac:dyDescent="0.3">
      <c r="A4" s="30" t="s">
        <v>149</v>
      </c>
      <c r="B4" s="30" t="s">
        <v>215</v>
      </c>
      <c r="C4" s="30"/>
      <c r="D4" s="30"/>
      <c r="E4" s="30"/>
      <c r="F4" s="32" t="s">
        <v>182</v>
      </c>
      <c r="G4" s="32" t="s">
        <v>182</v>
      </c>
      <c r="H4" s="32"/>
      <c r="I4" s="30"/>
      <c r="J4" s="30"/>
      <c r="K4" s="30"/>
      <c r="L4" s="30"/>
      <c r="M4" s="29"/>
      <c r="N4" s="29"/>
      <c r="O4" s="29"/>
      <c r="P4" s="29"/>
      <c r="Q4" s="29"/>
      <c r="R4" s="30"/>
      <c r="S4" s="31"/>
      <c r="T4" s="29"/>
      <c r="U4" s="27"/>
    </row>
    <row r="5" spans="1:21" x14ac:dyDescent="0.3">
      <c r="A5" s="30" t="s">
        <v>97</v>
      </c>
      <c r="B5" s="30" t="s">
        <v>176</v>
      </c>
      <c r="C5" s="30"/>
      <c r="D5" s="30"/>
      <c r="E5" s="30"/>
      <c r="F5" s="32" t="s">
        <v>182</v>
      </c>
      <c r="G5" s="32" t="s">
        <v>182</v>
      </c>
      <c r="H5" s="32"/>
      <c r="I5" s="30"/>
      <c r="J5" s="30"/>
      <c r="K5" s="30"/>
      <c r="L5" s="30"/>
      <c r="M5" s="33"/>
      <c r="N5" s="33"/>
      <c r="O5" s="34"/>
      <c r="P5" s="35"/>
      <c r="Q5" s="35"/>
      <c r="R5" s="30"/>
      <c r="S5" s="31"/>
      <c r="T5" s="36"/>
      <c r="U5" s="27"/>
    </row>
    <row r="6" spans="1:21" x14ac:dyDescent="0.3">
      <c r="A6" s="30" t="s">
        <v>97</v>
      </c>
      <c r="B6" s="30" t="s">
        <v>483</v>
      </c>
      <c r="C6" s="30"/>
      <c r="D6" s="30"/>
      <c r="E6" s="30"/>
      <c r="F6" s="33" t="s">
        <v>484</v>
      </c>
      <c r="G6" s="33" t="s">
        <v>484</v>
      </c>
      <c r="H6" s="33"/>
      <c r="I6" s="30"/>
      <c r="J6" s="30"/>
      <c r="K6" s="30"/>
      <c r="L6" s="30"/>
      <c r="M6" s="29"/>
      <c r="N6" s="29"/>
      <c r="O6" s="29"/>
      <c r="P6" s="29"/>
      <c r="Q6" s="29"/>
      <c r="R6" s="30"/>
      <c r="S6" s="31"/>
      <c r="T6" s="29"/>
      <c r="U6" s="27"/>
    </row>
    <row r="7" spans="1:21" x14ac:dyDescent="0.3">
      <c r="A7" s="30" t="s">
        <v>91</v>
      </c>
      <c r="B7" s="30" t="s">
        <v>177</v>
      </c>
      <c r="C7" s="30"/>
      <c r="D7" s="30"/>
      <c r="E7" s="30"/>
      <c r="F7" s="32" t="s">
        <v>182</v>
      </c>
      <c r="G7" s="32" t="s">
        <v>182</v>
      </c>
      <c r="H7" s="32"/>
      <c r="I7" s="30"/>
      <c r="J7" s="30"/>
      <c r="K7" s="30"/>
      <c r="L7" s="30"/>
      <c r="M7" s="29"/>
      <c r="N7" s="29"/>
      <c r="O7" s="29"/>
      <c r="P7" s="29"/>
      <c r="Q7" s="29"/>
      <c r="R7" s="30"/>
      <c r="S7" s="31"/>
      <c r="T7" s="29"/>
      <c r="U7" s="27"/>
    </row>
    <row r="8" spans="1:21" s="73" customFormat="1" ht="49.5" x14ac:dyDescent="0.3">
      <c r="A8" s="40" t="s">
        <v>85</v>
      </c>
      <c r="B8" s="40" t="s">
        <v>167</v>
      </c>
      <c r="C8" s="40" t="s">
        <v>485</v>
      </c>
      <c r="D8" s="40" t="s">
        <v>486</v>
      </c>
      <c r="E8" s="40"/>
      <c r="F8" s="97"/>
      <c r="G8" s="97"/>
      <c r="H8" s="97" t="s">
        <v>487</v>
      </c>
      <c r="I8" s="40"/>
      <c r="J8" s="40"/>
      <c r="K8" s="40"/>
      <c r="L8" s="40"/>
      <c r="M8" s="78"/>
      <c r="N8" s="78"/>
      <c r="O8" s="78"/>
      <c r="P8" s="78"/>
      <c r="Q8" s="78"/>
      <c r="R8" s="40"/>
      <c r="S8" s="79"/>
      <c r="T8" s="78"/>
      <c r="U8" s="98"/>
    </row>
    <row r="9" spans="1:21" x14ac:dyDescent="0.3">
      <c r="A9" s="38" t="s">
        <v>97</v>
      </c>
      <c r="B9" s="38" t="s">
        <v>98</v>
      </c>
      <c r="C9" s="38"/>
      <c r="D9" s="38" t="s">
        <v>488</v>
      </c>
      <c r="E9" s="38"/>
      <c r="F9" s="39" t="s">
        <v>489</v>
      </c>
      <c r="G9" s="42" t="s">
        <v>488</v>
      </c>
      <c r="H9" s="39" t="s">
        <v>490</v>
      </c>
      <c r="I9" s="38"/>
      <c r="J9" s="38"/>
      <c r="K9" s="38"/>
      <c r="L9" s="38"/>
      <c r="M9" s="37"/>
      <c r="N9" s="37"/>
      <c r="O9" s="37"/>
      <c r="P9" s="37"/>
      <c r="Q9" s="37"/>
      <c r="R9" s="38"/>
      <c r="S9" s="39"/>
      <c r="T9" s="37"/>
      <c r="U9" s="27"/>
    </row>
    <row r="10" spans="1:21" x14ac:dyDescent="0.3">
      <c r="A10" s="38" t="s">
        <v>97</v>
      </c>
      <c r="B10" s="38" t="s">
        <v>261</v>
      </c>
      <c r="C10" s="38"/>
      <c r="D10" s="38"/>
      <c r="E10" s="38"/>
      <c r="F10" s="39" t="s">
        <v>489</v>
      </c>
      <c r="G10" s="42"/>
      <c r="H10" s="39" t="s">
        <v>490</v>
      </c>
      <c r="I10" s="38"/>
      <c r="J10" s="38"/>
      <c r="K10" s="38"/>
      <c r="L10" s="38"/>
      <c r="M10" s="37"/>
      <c r="N10" s="37"/>
      <c r="O10" s="37"/>
      <c r="P10" s="37"/>
      <c r="Q10" s="37"/>
      <c r="R10" s="38"/>
      <c r="S10" s="39"/>
      <c r="T10" s="37"/>
      <c r="U10" s="27"/>
    </row>
    <row r="11" spans="1:21" x14ac:dyDescent="0.3">
      <c r="A11" s="38" t="s">
        <v>97</v>
      </c>
      <c r="B11" s="38" t="s">
        <v>190</v>
      </c>
      <c r="C11" s="38"/>
      <c r="D11" s="38"/>
      <c r="E11" s="38"/>
      <c r="F11" s="39" t="s">
        <v>491</v>
      </c>
      <c r="G11" s="42"/>
      <c r="H11" s="39" t="s">
        <v>189</v>
      </c>
      <c r="I11" s="38"/>
      <c r="J11" s="38"/>
      <c r="K11" s="38"/>
      <c r="L11" s="38"/>
      <c r="M11" s="37"/>
      <c r="N11" s="37"/>
      <c r="O11" s="37"/>
      <c r="P11" s="37"/>
      <c r="Q11" s="37"/>
      <c r="R11" s="38"/>
      <c r="S11" s="39"/>
      <c r="T11" s="37"/>
      <c r="U11" s="27"/>
    </row>
    <row r="12" spans="1:21" x14ac:dyDescent="0.3">
      <c r="A12" s="38" t="s">
        <v>97</v>
      </c>
      <c r="B12" s="38" t="s">
        <v>192</v>
      </c>
      <c r="C12" s="38"/>
      <c r="D12" s="38"/>
      <c r="E12" s="38"/>
      <c r="F12" s="39" t="s">
        <v>491</v>
      </c>
      <c r="G12" s="42"/>
      <c r="H12" s="39" t="s">
        <v>189</v>
      </c>
      <c r="I12" s="38"/>
      <c r="J12" s="38"/>
      <c r="K12" s="38"/>
      <c r="L12" s="38"/>
      <c r="M12" s="37"/>
      <c r="N12" s="37"/>
      <c r="O12" s="37"/>
      <c r="P12" s="37"/>
      <c r="Q12" s="37"/>
      <c r="R12" s="38"/>
      <c r="S12" s="39"/>
      <c r="T12" s="37"/>
      <c r="U12" s="27"/>
    </row>
    <row r="13" spans="1:21" x14ac:dyDescent="0.3">
      <c r="A13" s="38" t="s">
        <v>91</v>
      </c>
      <c r="B13" s="38" t="s">
        <v>492</v>
      </c>
      <c r="C13" s="38"/>
      <c r="D13" s="38"/>
      <c r="E13" s="38"/>
      <c r="F13" s="39" t="s">
        <v>491</v>
      </c>
      <c r="G13" s="42"/>
      <c r="H13" s="39" t="s">
        <v>189</v>
      </c>
      <c r="I13" s="38"/>
      <c r="J13" s="38"/>
      <c r="K13" s="38"/>
      <c r="L13" s="38"/>
      <c r="M13" s="37"/>
      <c r="N13" s="37"/>
      <c r="O13" s="37"/>
      <c r="P13" s="37"/>
      <c r="Q13" s="37"/>
      <c r="R13" s="38"/>
      <c r="S13" s="39"/>
      <c r="T13" s="37"/>
      <c r="U13" s="27"/>
    </row>
    <row r="14" spans="1:21" x14ac:dyDescent="0.3">
      <c r="A14" s="38" t="s">
        <v>97</v>
      </c>
      <c r="B14" s="38" t="s">
        <v>138</v>
      </c>
      <c r="C14" s="38"/>
      <c r="D14" s="38"/>
      <c r="E14" s="38"/>
      <c r="F14" s="39" t="s">
        <v>491</v>
      </c>
      <c r="G14" s="42"/>
      <c r="H14" s="39" t="s">
        <v>199</v>
      </c>
      <c r="I14" s="38"/>
      <c r="J14" s="38"/>
      <c r="K14" s="38"/>
      <c r="L14" s="38"/>
      <c r="M14" s="37"/>
      <c r="N14" s="37"/>
      <c r="O14" s="37"/>
      <c r="P14" s="37"/>
      <c r="Q14" s="37"/>
      <c r="R14" s="38"/>
      <c r="S14" s="39"/>
      <c r="T14" s="37"/>
      <c r="U14" s="27"/>
    </row>
    <row r="15" spans="1:21" x14ac:dyDescent="0.3">
      <c r="A15" s="38" t="s">
        <v>97</v>
      </c>
      <c r="B15" s="38" t="s">
        <v>183</v>
      </c>
      <c r="C15" s="38"/>
      <c r="D15" s="38"/>
      <c r="E15" s="38"/>
      <c r="F15" s="39" t="s">
        <v>491</v>
      </c>
      <c r="G15" s="42"/>
      <c r="H15" s="39" t="s">
        <v>199</v>
      </c>
      <c r="I15" s="38"/>
      <c r="J15" s="38"/>
      <c r="K15" s="38"/>
      <c r="L15" s="38"/>
      <c r="M15" s="37"/>
      <c r="N15" s="37"/>
      <c r="O15" s="37"/>
      <c r="P15" s="37"/>
      <c r="Q15" s="37"/>
      <c r="R15" s="38"/>
      <c r="S15" s="39"/>
      <c r="T15" s="37"/>
      <c r="U15" s="27"/>
    </row>
    <row r="16" spans="1:21" ht="33" x14ac:dyDescent="0.3">
      <c r="A16" s="38" t="s">
        <v>91</v>
      </c>
      <c r="B16" s="38" t="s">
        <v>271</v>
      </c>
      <c r="C16" s="38"/>
      <c r="D16" s="38"/>
      <c r="E16" s="38"/>
      <c r="F16" s="39" t="s">
        <v>493</v>
      </c>
      <c r="G16" s="42"/>
      <c r="H16" s="39" t="s">
        <v>494</v>
      </c>
      <c r="I16" s="38"/>
      <c r="J16" s="38"/>
      <c r="K16" s="38"/>
      <c r="L16" s="38"/>
      <c r="M16" s="37"/>
      <c r="N16" s="37"/>
      <c r="O16" s="37"/>
      <c r="P16" s="37"/>
      <c r="Q16" s="37"/>
      <c r="R16" s="38"/>
      <c r="S16" s="39"/>
      <c r="T16" s="37"/>
      <c r="U16" s="27"/>
    </row>
    <row r="17" spans="1:21" ht="33" x14ac:dyDescent="0.3">
      <c r="A17" s="38" t="s">
        <v>97</v>
      </c>
      <c r="B17" s="38" t="s">
        <v>197</v>
      </c>
      <c r="C17" s="38"/>
      <c r="D17" s="38"/>
      <c r="E17" s="38"/>
      <c r="F17" s="39" t="s">
        <v>493</v>
      </c>
      <c r="G17" s="42"/>
      <c r="H17" s="39" t="s">
        <v>494</v>
      </c>
      <c r="I17" s="38"/>
      <c r="J17" s="38"/>
      <c r="K17" s="38"/>
      <c r="L17" s="38"/>
      <c r="M17" s="37"/>
      <c r="N17" s="37"/>
      <c r="O17" s="37"/>
      <c r="P17" s="37"/>
      <c r="Q17" s="37"/>
      <c r="R17" s="38"/>
      <c r="S17" s="39"/>
      <c r="T17" s="37"/>
      <c r="U17" s="27"/>
    </row>
    <row r="18" spans="1:21" ht="33" x14ac:dyDescent="0.3">
      <c r="A18" s="38" t="s">
        <v>97</v>
      </c>
      <c r="B18" s="38" t="s">
        <v>187</v>
      </c>
      <c r="C18" s="38"/>
      <c r="D18" s="38"/>
      <c r="E18" s="38"/>
      <c r="F18" s="39" t="s">
        <v>493</v>
      </c>
      <c r="G18" s="42"/>
      <c r="H18" s="39" t="s">
        <v>494</v>
      </c>
      <c r="I18" s="38"/>
      <c r="J18" s="38"/>
      <c r="K18" s="38"/>
      <c r="L18" s="38"/>
      <c r="M18" s="37"/>
      <c r="N18" s="37"/>
      <c r="O18" s="37"/>
      <c r="P18" s="37"/>
      <c r="Q18" s="37"/>
      <c r="R18" s="38"/>
      <c r="S18" s="39"/>
      <c r="T18" s="37"/>
      <c r="U18" s="27"/>
    </row>
    <row r="19" spans="1:21" ht="33" x14ac:dyDescent="0.3">
      <c r="A19" s="38" t="s">
        <v>158</v>
      </c>
      <c r="B19" s="38" t="s">
        <v>181</v>
      </c>
      <c r="C19" s="38"/>
      <c r="D19" s="38"/>
      <c r="E19" s="38"/>
      <c r="F19" s="41" t="s">
        <v>493</v>
      </c>
      <c r="G19" s="42"/>
      <c r="H19" s="41" t="s">
        <v>495</v>
      </c>
      <c r="I19" s="38"/>
      <c r="J19" s="38"/>
      <c r="K19" s="38"/>
      <c r="L19" s="38"/>
      <c r="M19" s="37"/>
      <c r="N19" s="37"/>
      <c r="O19" s="37"/>
      <c r="P19" s="37"/>
      <c r="Q19" s="37"/>
      <c r="R19" s="38"/>
      <c r="S19" s="39"/>
      <c r="T19" s="37"/>
      <c r="U19" s="27"/>
    </row>
    <row r="20" spans="1:21" ht="28.5" customHeight="1" x14ac:dyDescent="0.3">
      <c r="A20" s="92" t="s">
        <v>94</v>
      </c>
      <c r="B20" s="93"/>
      <c r="C20" s="93"/>
      <c r="D20" s="93"/>
      <c r="E20" s="93"/>
      <c r="F20" s="93"/>
      <c r="G20" s="93"/>
      <c r="H20" s="94"/>
      <c r="I20" s="17" t="s">
        <v>59</v>
      </c>
      <c r="J20" s="17"/>
      <c r="K20" s="43" t="s">
        <v>496</v>
      </c>
      <c r="L20" s="18" t="s">
        <v>497</v>
      </c>
      <c r="M20" s="20" t="s">
        <v>498</v>
      </c>
      <c r="N20" s="44" t="s">
        <v>499</v>
      </c>
      <c r="O20" s="45">
        <v>97</v>
      </c>
      <c r="P20" s="22" t="s">
        <v>479</v>
      </c>
      <c r="Q20" s="23" t="s">
        <v>500</v>
      </c>
      <c r="R20" s="46" t="s">
        <v>6</v>
      </c>
      <c r="S20" s="25">
        <v>25</v>
      </c>
      <c r="T20" s="26">
        <v>44811</v>
      </c>
      <c r="U20" s="27"/>
    </row>
    <row r="21" spans="1:21" x14ac:dyDescent="0.3">
      <c r="A21" s="30" t="s">
        <v>501</v>
      </c>
      <c r="B21" s="30" t="s">
        <v>502</v>
      </c>
      <c r="C21" s="30"/>
      <c r="D21" s="30"/>
      <c r="E21" s="30"/>
      <c r="F21" s="31" t="s">
        <v>133</v>
      </c>
      <c r="G21" s="31" t="s">
        <v>133</v>
      </c>
      <c r="H21" s="31"/>
      <c r="I21" s="29"/>
      <c r="J21" s="29"/>
      <c r="K21" s="29"/>
      <c r="L21" s="29"/>
      <c r="M21" s="29"/>
      <c r="N21" s="29"/>
      <c r="O21" s="29"/>
      <c r="P21" s="29"/>
      <c r="Q21" s="29"/>
      <c r="R21" s="30"/>
      <c r="S21" s="31"/>
      <c r="T21" s="29"/>
      <c r="U21" s="27"/>
    </row>
    <row r="22" spans="1:21" x14ac:dyDescent="0.3">
      <c r="A22" s="30" t="s">
        <v>85</v>
      </c>
      <c r="B22" s="30" t="s">
        <v>86</v>
      </c>
      <c r="C22" s="30" t="s">
        <v>503</v>
      </c>
      <c r="D22" s="30" t="s">
        <v>504</v>
      </c>
      <c r="E22" s="30" t="s">
        <v>505</v>
      </c>
      <c r="F22" s="31" t="s">
        <v>87</v>
      </c>
      <c r="G22" s="31" t="s">
        <v>87</v>
      </c>
      <c r="H22" s="31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31"/>
      <c r="T22" s="29"/>
      <c r="U22" s="27"/>
    </row>
    <row r="23" spans="1:21" ht="33" x14ac:dyDescent="0.3">
      <c r="A23" s="30" t="s">
        <v>88</v>
      </c>
      <c r="B23" s="30" t="s">
        <v>89</v>
      </c>
      <c r="C23" s="30"/>
      <c r="D23" s="30"/>
      <c r="E23" s="30"/>
      <c r="F23" s="31" t="s">
        <v>506</v>
      </c>
      <c r="G23" s="31" t="s">
        <v>506</v>
      </c>
      <c r="H23" s="31" t="s">
        <v>507</v>
      </c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31"/>
      <c r="T23" s="29"/>
      <c r="U23" s="27"/>
    </row>
    <row r="24" spans="1:21" x14ac:dyDescent="0.3">
      <c r="A24" s="30" t="s">
        <v>80</v>
      </c>
      <c r="B24" s="30" t="s">
        <v>81</v>
      </c>
      <c r="C24" s="30"/>
      <c r="D24" s="30"/>
      <c r="E24" s="30"/>
      <c r="F24" s="31"/>
      <c r="G24" s="31" t="s">
        <v>508</v>
      </c>
      <c r="H24" s="31"/>
      <c r="I24" s="29"/>
      <c r="J24" s="29"/>
      <c r="K24" s="29"/>
      <c r="L24" s="29"/>
      <c r="M24" s="29"/>
      <c r="N24" s="29"/>
      <c r="O24" s="29"/>
      <c r="P24" s="29"/>
      <c r="Q24" s="29"/>
      <c r="R24" s="30"/>
      <c r="S24" s="31"/>
      <c r="T24" s="29"/>
      <c r="U24" s="27"/>
    </row>
    <row r="25" spans="1:21" x14ac:dyDescent="0.3">
      <c r="A25" s="30"/>
      <c r="B25" s="30"/>
      <c r="C25" s="30" t="s">
        <v>128</v>
      </c>
      <c r="D25" s="30"/>
      <c r="E25" s="30"/>
      <c r="F25" s="33" t="s">
        <v>123</v>
      </c>
      <c r="G25" s="33" t="s">
        <v>123</v>
      </c>
      <c r="H25" s="33"/>
      <c r="I25" s="29"/>
      <c r="J25" s="29"/>
      <c r="K25" s="29"/>
      <c r="L25" s="29"/>
      <c r="M25" s="29"/>
      <c r="N25" s="29"/>
      <c r="O25" s="29"/>
      <c r="P25" s="29"/>
      <c r="Q25" s="29"/>
      <c r="R25" s="30"/>
      <c r="S25" s="31"/>
      <c r="T25" s="29"/>
      <c r="U25" s="27"/>
    </row>
    <row r="26" spans="1:21" x14ac:dyDescent="0.3">
      <c r="A26" s="30"/>
      <c r="B26" s="47"/>
      <c r="C26" s="30" t="s">
        <v>509</v>
      </c>
      <c r="D26" s="30"/>
      <c r="E26" s="30"/>
      <c r="F26" s="33" t="s">
        <v>123</v>
      </c>
      <c r="G26" s="33" t="s">
        <v>123</v>
      </c>
      <c r="H26" s="33"/>
      <c r="I26" s="29"/>
      <c r="J26" s="29"/>
      <c r="K26" s="29"/>
      <c r="L26" s="29"/>
      <c r="M26" s="29"/>
      <c r="N26" s="29"/>
      <c r="O26" s="29"/>
      <c r="P26" s="29"/>
      <c r="Q26" s="29"/>
      <c r="R26" s="30"/>
      <c r="S26" s="31"/>
      <c r="T26" s="29"/>
      <c r="U26" s="27"/>
    </row>
    <row r="27" spans="1:21" ht="33" x14ac:dyDescent="0.3">
      <c r="A27" s="38" t="s">
        <v>178</v>
      </c>
      <c r="B27" s="38" t="s">
        <v>95</v>
      </c>
      <c r="C27" s="38"/>
      <c r="D27" s="38"/>
      <c r="E27" s="38" t="s">
        <v>510</v>
      </c>
      <c r="F27" s="48"/>
      <c r="G27" s="48" t="s">
        <v>511</v>
      </c>
      <c r="H27" s="48" t="s">
        <v>512</v>
      </c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9"/>
      <c r="T27" s="37"/>
      <c r="U27" s="27"/>
    </row>
    <row r="28" spans="1:21" x14ac:dyDescent="0.3">
      <c r="A28" s="38" t="s">
        <v>91</v>
      </c>
      <c r="B28" s="38" t="s">
        <v>92</v>
      </c>
      <c r="C28" s="38"/>
      <c r="D28" s="38"/>
      <c r="E28" s="38"/>
      <c r="F28" s="39"/>
      <c r="G28" s="42"/>
      <c r="H28" s="39" t="s">
        <v>513</v>
      </c>
      <c r="I28" s="37"/>
      <c r="J28" s="37"/>
      <c r="K28" s="37"/>
      <c r="L28" s="37"/>
      <c r="M28" s="37"/>
      <c r="N28" s="37"/>
      <c r="O28" s="37"/>
      <c r="P28" s="37"/>
      <c r="Q28" s="37"/>
      <c r="R28" s="38"/>
      <c r="S28" s="39"/>
      <c r="T28" s="37"/>
      <c r="U28" s="27"/>
    </row>
    <row r="29" spans="1:21" x14ac:dyDescent="0.3">
      <c r="A29" s="38" t="s">
        <v>97</v>
      </c>
      <c r="B29" s="38" t="s">
        <v>98</v>
      </c>
      <c r="C29" s="38"/>
      <c r="D29" s="38"/>
      <c r="E29" s="38"/>
      <c r="F29" s="39"/>
      <c r="G29" s="42"/>
      <c r="H29" s="39" t="s">
        <v>487</v>
      </c>
      <c r="I29" s="37"/>
      <c r="J29" s="37"/>
      <c r="K29" s="37"/>
      <c r="L29" s="37"/>
      <c r="M29" s="37"/>
      <c r="N29" s="37"/>
      <c r="O29" s="37"/>
      <c r="P29" s="37"/>
      <c r="Q29" s="37"/>
      <c r="R29" s="38"/>
      <c r="S29" s="39"/>
      <c r="T29" s="37"/>
      <c r="U29" s="27"/>
    </row>
    <row r="30" spans="1:21" x14ac:dyDescent="0.3">
      <c r="A30" s="38" t="s">
        <v>97</v>
      </c>
      <c r="B30" s="38" t="s">
        <v>170</v>
      </c>
      <c r="C30" s="38"/>
      <c r="D30" s="38"/>
      <c r="E30" s="38"/>
      <c r="F30" s="39"/>
      <c r="G30" s="42"/>
      <c r="H30" s="39" t="s">
        <v>487</v>
      </c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39"/>
      <c r="T30" s="37"/>
      <c r="U30" s="27"/>
    </row>
    <row r="31" spans="1:21" x14ac:dyDescent="0.3">
      <c r="A31" s="38" t="s">
        <v>104</v>
      </c>
      <c r="B31" s="38" t="s">
        <v>105</v>
      </c>
      <c r="C31" s="38"/>
      <c r="D31" s="38"/>
      <c r="E31" s="38"/>
      <c r="F31" s="39"/>
      <c r="G31" s="42"/>
      <c r="H31" s="39" t="s">
        <v>487</v>
      </c>
      <c r="I31" s="37"/>
      <c r="J31" s="37"/>
      <c r="K31" s="37"/>
      <c r="L31" s="37"/>
      <c r="M31" s="37"/>
      <c r="N31" s="37"/>
      <c r="O31" s="37"/>
      <c r="P31" s="37"/>
      <c r="Q31" s="37"/>
      <c r="R31" s="38"/>
      <c r="S31" s="39"/>
      <c r="T31" s="37"/>
      <c r="U31" s="27"/>
    </row>
    <row r="32" spans="1:21" x14ac:dyDescent="0.3">
      <c r="A32" s="38" t="s">
        <v>97</v>
      </c>
      <c r="B32" s="38" t="s">
        <v>107</v>
      </c>
      <c r="C32" s="38"/>
      <c r="D32" s="38"/>
      <c r="E32" s="38"/>
      <c r="F32" s="39"/>
      <c r="G32" s="42"/>
      <c r="H32" s="39" t="s">
        <v>109</v>
      </c>
      <c r="I32" s="37"/>
      <c r="J32" s="37"/>
      <c r="K32" s="37"/>
      <c r="L32" s="37"/>
      <c r="M32" s="48"/>
      <c r="N32" s="49"/>
      <c r="O32" s="50"/>
      <c r="P32" s="51"/>
      <c r="Q32" s="51"/>
      <c r="R32" s="38"/>
      <c r="S32" s="39"/>
      <c r="T32" s="52"/>
      <c r="U32" s="27"/>
    </row>
    <row r="33" spans="1:21" x14ac:dyDescent="0.3">
      <c r="A33" s="38" t="s">
        <v>97</v>
      </c>
      <c r="B33" s="38" t="s">
        <v>110</v>
      </c>
      <c r="C33" s="38"/>
      <c r="D33" s="38"/>
      <c r="E33" s="38"/>
      <c r="F33" s="39"/>
      <c r="G33" s="42"/>
      <c r="H33" s="39" t="s">
        <v>109</v>
      </c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9"/>
      <c r="T33" s="37"/>
      <c r="U33" s="27"/>
    </row>
    <row r="34" spans="1:21" ht="66" x14ac:dyDescent="0.3">
      <c r="A34" s="92" t="s">
        <v>514</v>
      </c>
      <c r="B34" s="93"/>
      <c r="C34" s="93"/>
      <c r="D34" s="93"/>
      <c r="E34" s="93"/>
      <c r="F34" s="93"/>
      <c r="G34" s="93"/>
      <c r="H34" s="94"/>
      <c r="I34" s="18" t="s">
        <v>515</v>
      </c>
      <c r="J34" s="18"/>
      <c r="K34" s="18"/>
      <c r="L34" s="18" t="s">
        <v>516</v>
      </c>
      <c r="M34" s="20" t="s">
        <v>517</v>
      </c>
      <c r="N34" s="44" t="s">
        <v>518</v>
      </c>
      <c r="O34" s="21">
        <v>144</v>
      </c>
      <c r="P34" s="22" t="s">
        <v>479</v>
      </c>
      <c r="Q34" s="23" t="s">
        <v>519</v>
      </c>
      <c r="R34" s="46" t="s">
        <v>1</v>
      </c>
      <c r="S34" s="25">
        <v>20</v>
      </c>
      <c r="T34" s="26">
        <v>44866</v>
      </c>
      <c r="U34" s="27"/>
    </row>
    <row r="35" spans="1:21" s="65" customFormat="1" x14ac:dyDescent="0.3">
      <c r="A35" s="60" t="s">
        <v>97</v>
      </c>
      <c r="B35" s="110" t="s">
        <v>115</v>
      </c>
      <c r="C35" s="60" t="s">
        <v>520</v>
      </c>
      <c r="D35" s="53"/>
      <c r="E35" s="53"/>
      <c r="F35" s="61"/>
      <c r="G35" s="61" t="s">
        <v>83</v>
      </c>
      <c r="H35" s="62">
        <v>44259</v>
      </c>
      <c r="I35" s="53"/>
      <c r="J35" s="53"/>
      <c r="K35" s="53"/>
      <c r="L35" s="53"/>
      <c r="M35" s="54"/>
      <c r="N35" s="55"/>
      <c r="O35" s="56"/>
      <c r="P35" s="57"/>
      <c r="Q35" s="58"/>
      <c r="R35" s="59"/>
      <c r="S35" s="54"/>
      <c r="T35" s="63"/>
      <c r="U35" s="64"/>
    </row>
    <row r="36" spans="1:21" x14ac:dyDescent="0.3">
      <c r="A36" s="30" t="s">
        <v>97</v>
      </c>
      <c r="B36" s="110" t="s">
        <v>115</v>
      </c>
      <c r="C36" s="30" t="s">
        <v>521</v>
      </c>
      <c r="D36" s="30"/>
      <c r="E36" s="30"/>
      <c r="F36" s="32"/>
      <c r="G36" s="32" t="s">
        <v>83</v>
      </c>
      <c r="H36" s="67">
        <v>43853</v>
      </c>
      <c r="I36" s="30"/>
      <c r="J36" s="30"/>
      <c r="K36" s="30"/>
      <c r="L36" s="30"/>
      <c r="M36" s="33"/>
      <c r="N36" s="66"/>
      <c r="O36" s="34"/>
      <c r="P36" s="35"/>
      <c r="Q36" s="35"/>
      <c r="R36" s="30"/>
      <c r="S36" s="31"/>
      <c r="T36" s="36"/>
      <c r="U36" s="27"/>
    </row>
    <row r="37" spans="1:21" x14ac:dyDescent="0.3">
      <c r="A37" s="30" t="s">
        <v>97</v>
      </c>
      <c r="B37" s="110" t="s">
        <v>115</v>
      </c>
      <c r="C37" s="30" t="s">
        <v>522</v>
      </c>
      <c r="D37" s="30"/>
      <c r="E37" s="30"/>
      <c r="F37" s="32"/>
      <c r="G37" s="32" t="s">
        <v>83</v>
      </c>
      <c r="H37" s="67">
        <v>43853</v>
      </c>
      <c r="I37" s="30"/>
      <c r="J37" s="30"/>
      <c r="K37" s="30"/>
      <c r="L37" s="30"/>
      <c r="M37" s="33"/>
      <c r="N37" s="66"/>
      <c r="O37" s="34"/>
      <c r="P37" s="35"/>
      <c r="Q37" s="35"/>
      <c r="R37" s="30"/>
      <c r="S37" s="31"/>
      <c r="T37" s="36"/>
      <c r="U37" s="27"/>
    </row>
    <row r="38" spans="1:21" x14ac:dyDescent="0.3">
      <c r="A38" s="30" t="s">
        <v>97</v>
      </c>
      <c r="B38" s="110" t="s">
        <v>115</v>
      </c>
      <c r="C38" s="30" t="s">
        <v>523</v>
      </c>
      <c r="D38" s="30"/>
      <c r="E38" s="30"/>
      <c r="F38" s="32"/>
      <c r="G38" s="32" t="s">
        <v>83</v>
      </c>
      <c r="H38" s="67">
        <v>42922</v>
      </c>
      <c r="I38" s="30"/>
      <c r="J38" s="30"/>
      <c r="K38" s="30"/>
      <c r="L38" s="30"/>
      <c r="M38" s="33"/>
      <c r="N38" s="66"/>
      <c r="O38" s="34"/>
      <c r="P38" s="35"/>
      <c r="Q38" s="35"/>
      <c r="R38" s="30"/>
      <c r="S38" s="31"/>
      <c r="T38" s="36"/>
      <c r="U38" s="27"/>
    </row>
    <row r="39" spans="1:21" x14ac:dyDescent="0.3">
      <c r="A39" s="30" t="s">
        <v>97</v>
      </c>
      <c r="B39" s="110" t="s">
        <v>115</v>
      </c>
      <c r="C39" s="30" t="s">
        <v>524</v>
      </c>
      <c r="D39" s="30"/>
      <c r="E39" s="30"/>
      <c r="F39" s="32"/>
      <c r="G39" s="32" t="s">
        <v>83</v>
      </c>
      <c r="H39" s="67">
        <v>42922</v>
      </c>
      <c r="I39" s="30"/>
      <c r="J39" s="30"/>
      <c r="K39" s="30"/>
      <c r="L39" s="30"/>
      <c r="M39" s="33"/>
      <c r="N39" s="66"/>
      <c r="O39" s="34"/>
      <c r="P39" s="35"/>
      <c r="Q39" s="35"/>
      <c r="R39" s="30"/>
      <c r="S39" s="31"/>
      <c r="T39" s="36"/>
      <c r="U39" s="27"/>
    </row>
    <row r="40" spans="1:21" x14ac:dyDescent="0.3">
      <c r="A40" s="30" t="s">
        <v>97</v>
      </c>
      <c r="B40" s="110" t="s">
        <v>115</v>
      </c>
      <c r="C40" s="30" t="s">
        <v>525</v>
      </c>
      <c r="D40" s="30"/>
      <c r="E40" s="30"/>
      <c r="F40" s="32"/>
      <c r="G40" s="32" t="s">
        <v>83</v>
      </c>
      <c r="H40" s="67">
        <v>41915</v>
      </c>
      <c r="I40" s="30"/>
      <c r="J40" s="30"/>
      <c r="K40" s="30"/>
      <c r="L40" s="30"/>
      <c r="M40" s="33"/>
      <c r="N40" s="66"/>
      <c r="O40" s="34"/>
      <c r="P40" s="35"/>
      <c r="Q40" s="35"/>
      <c r="R40" s="30"/>
      <c r="S40" s="31"/>
      <c r="T40" s="36"/>
      <c r="U40" s="27"/>
    </row>
    <row r="41" spans="1:21" x14ac:dyDescent="0.3">
      <c r="A41" s="30" t="s">
        <v>97</v>
      </c>
      <c r="B41" s="30" t="s">
        <v>117</v>
      </c>
      <c r="C41" s="30" t="s">
        <v>526</v>
      </c>
      <c r="D41" s="30"/>
      <c r="E41" s="30"/>
      <c r="F41" s="32"/>
      <c r="G41" s="32" t="s">
        <v>83</v>
      </c>
      <c r="H41" s="67">
        <v>41849</v>
      </c>
      <c r="I41" s="30"/>
      <c r="J41" s="30"/>
      <c r="K41" s="30"/>
      <c r="L41" s="30"/>
      <c r="M41" s="33"/>
      <c r="N41" s="66"/>
      <c r="O41" s="34"/>
      <c r="P41" s="35"/>
      <c r="Q41" s="35"/>
      <c r="R41" s="30"/>
      <c r="S41" s="31"/>
      <c r="T41" s="36"/>
      <c r="U41" s="27"/>
    </row>
    <row r="42" spans="1:21" x14ac:dyDescent="0.3">
      <c r="A42" s="30" t="s">
        <v>97</v>
      </c>
      <c r="B42" s="30" t="s">
        <v>118</v>
      </c>
      <c r="C42" s="30" t="s">
        <v>527</v>
      </c>
      <c r="D42" s="30"/>
      <c r="E42" s="30"/>
      <c r="F42" s="32"/>
      <c r="G42" s="32" t="s">
        <v>83</v>
      </c>
      <c r="H42" s="67">
        <v>41849</v>
      </c>
      <c r="I42" s="30"/>
      <c r="J42" s="30"/>
      <c r="K42" s="30"/>
      <c r="L42" s="30"/>
      <c r="M42" s="33"/>
      <c r="N42" s="66"/>
      <c r="O42" s="34"/>
      <c r="P42" s="35"/>
      <c r="Q42" s="35"/>
      <c r="R42" s="30"/>
      <c r="S42" s="31"/>
      <c r="T42" s="36"/>
      <c r="U42" s="27"/>
    </row>
    <row r="43" spans="1:21" x14ac:dyDescent="0.3">
      <c r="A43" s="30" t="s">
        <v>97</v>
      </c>
      <c r="B43" s="30" t="s">
        <v>119</v>
      </c>
      <c r="C43" s="30" t="s">
        <v>528</v>
      </c>
      <c r="D43" s="30"/>
      <c r="E43" s="30"/>
      <c r="F43" s="32"/>
      <c r="G43" s="32" t="s">
        <v>83</v>
      </c>
      <c r="H43" s="67">
        <v>40305</v>
      </c>
      <c r="I43" s="30"/>
      <c r="J43" s="30"/>
      <c r="K43" s="30"/>
      <c r="L43" s="30"/>
      <c r="M43" s="33"/>
      <c r="N43" s="66"/>
      <c r="O43" s="34"/>
      <c r="P43" s="35"/>
      <c r="Q43" s="35"/>
      <c r="R43" s="30"/>
      <c r="S43" s="31"/>
      <c r="T43" s="36"/>
      <c r="U43" s="27"/>
    </row>
    <row r="44" spans="1:21" x14ac:dyDescent="0.3">
      <c r="A44" s="30" t="s">
        <v>91</v>
      </c>
      <c r="B44" s="30" t="s">
        <v>120</v>
      </c>
      <c r="C44" s="30"/>
      <c r="D44" s="30"/>
      <c r="E44" s="30"/>
      <c r="F44" s="33"/>
      <c r="G44" s="31" t="s">
        <v>83</v>
      </c>
      <c r="H44" s="67">
        <v>44215</v>
      </c>
      <c r="I44" s="29"/>
      <c r="J44" s="29"/>
      <c r="K44" s="29"/>
      <c r="L44" s="29"/>
      <c r="M44" s="29"/>
      <c r="N44" s="29"/>
      <c r="O44" s="29"/>
      <c r="P44" s="29"/>
      <c r="Q44" s="29"/>
      <c r="R44" s="68"/>
      <c r="S44" s="68"/>
      <c r="T44" s="29"/>
    </row>
    <row r="45" spans="1:21" x14ac:dyDescent="0.3">
      <c r="A45" s="30" t="s">
        <v>121</v>
      </c>
      <c r="B45" s="30" t="s">
        <v>122</v>
      </c>
      <c r="C45" s="30"/>
      <c r="D45" s="30"/>
      <c r="E45" s="30"/>
      <c r="F45" s="69"/>
      <c r="G45" s="33" t="s">
        <v>123</v>
      </c>
      <c r="H45" s="33" t="s">
        <v>529</v>
      </c>
      <c r="I45" s="29"/>
      <c r="J45" s="29"/>
      <c r="K45" s="29"/>
      <c r="L45" s="29"/>
      <c r="M45" s="29"/>
      <c r="N45" s="29"/>
      <c r="O45" s="29"/>
      <c r="P45" s="29"/>
      <c r="Q45" s="29"/>
      <c r="R45" s="68"/>
      <c r="S45" s="68"/>
      <c r="T45" s="29"/>
    </row>
    <row r="46" spans="1:21" ht="33" x14ac:dyDescent="0.3">
      <c r="A46" s="30" t="s">
        <v>125</v>
      </c>
      <c r="B46" s="30" t="s">
        <v>126</v>
      </c>
      <c r="C46" s="30"/>
      <c r="D46" s="30"/>
      <c r="E46" s="30"/>
      <c r="F46" s="69"/>
      <c r="G46" s="33" t="s">
        <v>123</v>
      </c>
      <c r="H46" s="33" t="s">
        <v>529</v>
      </c>
      <c r="I46" s="29"/>
      <c r="J46" s="29"/>
      <c r="K46" s="29"/>
      <c r="L46" s="29"/>
      <c r="M46" s="29"/>
      <c r="N46" s="29"/>
      <c r="O46" s="29"/>
      <c r="P46" s="29"/>
      <c r="Q46" s="29"/>
      <c r="R46" s="68"/>
      <c r="S46" s="68"/>
      <c r="T46" s="29"/>
    </row>
    <row r="47" spans="1:21" s="73" customFormat="1" ht="33" x14ac:dyDescent="0.3">
      <c r="A47" s="60" t="s">
        <v>127</v>
      </c>
      <c r="B47" s="60" t="s">
        <v>128</v>
      </c>
      <c r="C47" s="72"/>
      <c r="D47" s="72"/>
      <c r="E47" s="53"/>
      <c r="F47" s="33"/>
      <c r="G47" s="33" t="s">
        <v>123</v>
      </c>
      <c r="H47" s="33" t="s">
        <v>529</v>
      </c>
      <c r="I47" s="70"/>
      <c r="J47" s="70"/>
      <c r="K47" s="70"/>
      <c r="L47" s="70"/>
      <c r="M47" s="70"/>
      <c r="N47" s="70"/>
      <c r="O47" s="70"/>
      <c r="P47" s="70"/>
      <c r="Q47" s="70"/>
      <c r="R47" s="71"/>
      <c r="S47" s="71"/>
      <c r="T47" s="70"/>
    </row>
    <row r="48" spans="1:21" x14ac:dyDescent="0.3">
      <c r="A48" s="30" t="s">
        <v>97</v>
      </c>
      <c r="B48" s="30" t="s">
        <v>129</v>
      </c>
      <c r="C48" s="30"/>
      <c r="D48" s="30"/>
      <c r="E48" s="30"/>
      <c r="F48" s="32" t="s">
        <v>130</v>
      </c>
      <c r="G48" s="31" t="s">
        <v>83</v>
      </c>
      <c r="H48" s="67">
        <v>44267</v>
      </c>
      <c r="I48" s="30"/>
      <c r="J48" s="30"/>
      <c r="K48" s="30"/>
      <c r="L48" s="30"/>
      <c r="M48" s="29"/>
      <c r="N48" s="29"/>
      <c r="O48" s="29"/>
      <c r="P48" s="29"/>
      <c r="Q48" s="29"/>
      <c r="R48" s="30"/>
      <c r="S48" s="31"/>
      <c r="T48" s="29"/>
      <c r="U48" s="27"/>
    </row>
    <row r="49" spans="1:21" x14ac:dyDescent="0.3">
      <c r="A49" s="30" t="s">
        <v>97</v>
      </c>
      <c r="B49" s="30" t="s">
        <v>131</v>
      </c>
      <c r="C49" s="30"/>
      <c r="D49" s="30"/>
      <c r="E49" s="30"/>
      <c r="F49" s="32" t="s">
        <v>130</v>
      </c>
      <c r="G49" s="31" t="s">
        <v>83</v>
      </c>
      <c r="H49" s="67">
        <v>44267</v>
      </c>
      <c r="I49" s="30"/>
      <c r="J49" s="30"/>
      <c r="K49" s="30"/>
      <c r="L49" s="30"/>
      <c r="M49" s="29"/>
      <c r="N49" s="29"/>
      <c r="O49" s="29"/>
      <c r="P49" s="29"/>
      <c r="Q49" s="29"/>
      <c r="R49" s="30"/>
      <c r="S49" s="31"/>
      <c r="T49" s="29"/>
      <c r="U49" s="27"/>
    </row>
    <row r="50" spans="1:21" x14ac:dyDescent="0.3">
      <c r="A50" s="30" t="s">
        <v>91</v>
      </c>
      <c r="B50" s="30" t="s">
        <v>132</v>
      </c>
      <c r="C50" s="30"/>
      <c r="D50" s="30"/>
      <c r="E50" s="30"/>
      <c r="F50" s="33" t="s">
        <v>133</v>
      </c>
      <c r="G50" s="33" t="s">
        <v>133</v>
      </c>
      <c r="H50" s="33" t="s">
        <v>17</v>
      </c>
      <c r="I50" s="29"/>
      <c r="J50" s="29"/>
      <c r="K50" s="29"/>
      <c r="L50" s="29"/>
      <c r="M50" s="29"/>
      <c r="N50" s="29"/>
      <c r="O50" s="29"/>
      <c r="P50" s="29"/>
      <c r="Q50" s="29"/>
      <c r="R50" s="68"/>
      <c r="S50" s="68"/>
      <c r="T50" s="29"/>
    </row>
    <row r="51" spans="1:21" s="73" customFormat="1" x14ac:dyDescent="0.3">
      <c r="A51" s="60" t="s">
        <v>135</v>
      </c>
      <c r="B51" s="60" t="s">
        <v>301</v>
      </c>
      <c r="C51" s="72"/>
      <c r="D51" s="72"/>
      <c r="E51" s="53"/>
      <c r="F51" s="33" t="s">
        <v>133</v>
      </c>
      <c r="G51" s="33" t="s">
        <v>133</v>
      </c>
      <c r="H51" s="33" t="s">
        <v>17</v>
      </c>
      <c r="I51" s="70"/>
      <c r="J51" s="70"/>
      <c r="K51" s="70"/>
      <c r="L51" s="70"/>
      <c r="M51" s="70"/>
      <c r="N51" s="70"/>
      <c r="O51" s="70"/>
      <c r="P51" s="70"/>
      <c r="Q51" s="70"/>
      <c r="R51" s="71"/>
      <c r="S51" s="71"/>
      <c r="T51" s="70"/>
    </row>
    <row r="52" spans="1:21" x14ac:dyDescent="0.3">
      <c r="A52" s="30" t="s">
        <v>97</v>
      </c>
      <c r="B52" s="30" t="s">
        <v>137</v>
      </c>
      <c r="C52" s="30"/>
      <c r="D52" s="30"/>
      <c r="E52" s="30"/>
      <c r="F52" s="32" t="s">
        <v>17</v>
      </c>
      <c r="G52" s="31" t="s">
        <v>17</v>
      </c>
      <c r="H52" s="32" t="s">
        <v>17</v>
      </c>
      <c r="I52" s="30"/>
      <c r="J52" s="30"/>
      <c r="K52" s="30"/>
      <c r="L52" s="30"/>
      <c r="M52" s="29"/>
      <c r="N52" s="29"/>
      <c r="O52" s="29"/>
      <c r="P52" s="29"/>
      <c r="Q52" s="29"/>
      <c r="R52" s="30"/>
      <c r="S52" s="31"/>
      <c r="T52" s="29"/>
      <c r="U52" s="27"/>
    </row>
    <row r="53" spans="1:21" x14ac:dyDescent="0.3">
      <c r="A53" s="38" t="s">
        <v>97</v>
      </c>
      <c r="B53" s="38" t="s">
        <v>138</v>
      </c>
      <c r="C53" s="38"/>
      <c r="D53" s="38"/>
      <c r="E53" s="38"/>
      <c r="F53" s="41" t="s">
        <v>530</v>
      </c>
      <c r="G53" s="42" t="s">
        <v>161</v>
      </c>
      <c r="H53" s="74">
        <v>44371</v>
      </c>
      <c r="I53" s="38"/>
      <c r="J53" s="38"/>
      <c r="K53" s="38"/>
      <c r="L53" s="38"/>
      <c r="M53" s="37"/>
      <c r="N53" s="37"/>
      <c r="O53" s="37"/>
      <c r="P53" s="37"/>
      <c r="Q53" s="37"/>
      <c r="R53" s="38"/>
      <c r="S53" s="39"/>
      <c r="T53" s="37"/>
      <c r="U53" s="27"/>
    </row>
    <row r="54" spans="1:21" s="27" customFormat="1" ht="28.5" customHeight="1" x14ac:dyDescent="0.3">
      <c r="A54" s="92" t="s">
        <v>531</v>
      </c>
      <c r="B54" s="95"/>
      <c r="C54" s="95"/>
      <c r="D54" s="95"/>
      <c r="E54" s="95"/>
      <c r="F54" s="95"/>
      <c r="G54" s="95"/>
      <c r="H54" s="96"/>
      <c r="I54" s="18" t="s">
        <v>515</v>
      </c>
      <c r="J54" s="18"/>
      <c r="K54" s="18"/>
      <c r="L54" s="18" t="s">
        <v>532</v>
      </c>
      <c r="M54" s="20" t="s">
        <v>533</v>
      </c>
      <c r="N54" s="44" t="s">
        <v>534</v>
      </c>
      <c r="O54" s="21">
        <v>200</v>
      </c>
      <c r="P54" s="75" t="s">
        <v>479</v>
      </c>
      <c r="Q54" s="23" t="s">
        <v>535</v>
      </c>
      <c r="R54" s="46" t="s">
        <v>3</v>
      </c>
      <c r="S54" s="25">
        <v>20</v>
      </c>
      <c r="T54" s="26">
        <v>44896</v>
      </c>
    </row>
    <row r="55" spans="1:21" s="27" customFormat="1" x14ac:dyDescent="0.3">
      <c r="A55" s="30" t="s">
        <v>91</v>
      </c>
      <c r="B55" s="30" t="s">
        <v>132</v>
      </c>
      <c r="C55" s="30"/>
      <c r="D55" s="30"/>
      <c r="E55" s="30"/>
      <c r="F55" s="33" t="s">
        <v>143</v>
      </c>
      <c r="G55" s="33" t="s">
        <v>143</v>
      </c>
      <c r="H55" s="33" t="s">
        <v>17</v>
      </c>
      <c r="I55" s="30"/>
      <c r="J55" s="30"/>
      <c r="K55" s="30"/>
      <c r="L55" s="30"/>
      <c r="M55" s="29"/>
      <c r="N55" s="29"/>
      <c r="O55" s="29"/>
      <c r="P55" s="29"/>
      <c r="Q55" s="29"/>
      <c r="R55" s="68"/>
      <c r="S55" s="68"/>
      <c r="T55" s="29"/>
    </row>
    <row r="56" spans="1:21" s="27" customFormat="1" x14ac:dyDescent="0.3">
      <c r="A56" s="30" t="s">
        <v>80</v>
      </c>
      <c r="B56" s="30" t="s">
        <v>81</v>
      </c>
      <c r="C56" s="30"/>
      <c r="D56" s="30"/>
      <c r="E56" s="30"/>
      <c r="F56" s="33" t="s">
        <v>83</v>
      </c>
      <c r="G56" s="33" t="s">
        <v>83</v>
      </c>
      <c r="H56" s="61">
        <v>44256</v>
      </c>
      <c r="I56" s="30"/>
      <c r="J56" s="30"/>
      <c r="K56" s="30"/>
      <c r="L56" s="30"/>
      <c r="M56" s="29"/>
      <c r="N56" s="29"/>
      <c r="O56" s="29"/>
      <c r="P56" s="29"/>
      <c r="Q56" s="29"/>
      <c r="R56" s="68"/>
      <c r="S56" s="68"/>
      <c r="T56" s="29"/>
    </row>
    <row r="57" spans="1:21" s="27" customFormat="1" ht="33" x14ac:dyDescent="0.3">
      <c r="A57" s="30" t="s">
        <v>125</v>
      </c>
      <c r="B57" s="30" t="s">
        <v>126</v>
      </c>
      <c r="C57" s="30"/>
      <c r="D57" s="30"/>
      <c r="E57" s="30"/>
      <c r="F57" s="33" t="s">
        <v>143</v>
      </c>
      <c r="G57" s="33" t="s">
        <v>143</v>
      </c>
      <c r="H57" s="33" t="s">
        <v>17</v>
      </c>
      <c r="I57" s="30"/>
      <c r="J57" s="30"/>
      <c r="K57" s="30"/>
      <c r="L57" s="30"/>
      <c r="M57" s="29"/>
      <c r="N57" s="29"/>
      <c r="O57" s="29"/>
      <c r="P57" s="29"/>
      <c r="Q57" s="29"/>
      <c r="R57" s="68"/>
      <c r="S57" s="68"/>
      <c r="T57" s="29"/>
    </row>
    <row r="58" spans="1:21" s="27" customFormat="1" x14ac:dyDescent="0.3">
      <c r="A58" s="30" t="s">
        <v>135</v>
      </c>
      <c r="B58" s="30" t="s">
        <v>301</v>
      </c>
      <c r="C58" s="30"/>
      <c r="D58" s="30"/>
      <c r="E58" s="30"/>
      <c r="F58" s="33" t="s">
        <v>143</v>
      </c>
      <c r="G58" s="33" t="s">
        <v>143</v>
      </c>
      <c r="H58" s="33" t="s">
        <v>17</v>
      </c>
      <c r="I58" s="30"/>
      <c r="J58" s="30"/>
      <c r="K58" s="30"/>
      <c r="L58" s="30"/>
      <c r="M58" s="29"/>
      <c r="N58" s="29"/>
      <c r="O58" s="29"/>
      <c r="P58" s="29"/>
      <c r="Q58" s="29"/>
      <c r="R58" s="68"/>
      <c r="S58" s="68"/>
      <c r="T58" s="29"/>
    </row>
    <row r="59" spans="1:21" s="27" customFormat="1" x14ac:dyDescent="0.3">
      <c r="A59" s="30" t="s">
        <v>121</v>
      </c>
      <c r="B59" s="30" t="s">
        <v>122</v>
      </c>
      <c r="C59" s="30"/>
      <c r="D59" s="30"/>
      <c r="E59" s="30"/>
      <c r="F59" s="69"/>
      <c r="G59" s="33" t="s">
        <v>144</v>
      </c>
      <c r="H59" s="33" t="s">
        <v>529</v>
      </c>
      <c r="I59" s="30"/>
      <c r="J59" s="30"/>
      <c r="K59" s="30"/>
      <c r="L59" s="30"/>
      <c r="M59" s="29"/>
      <c r="N59" s="29"/>
      <c r="O59" s="29"/>
      <c r="P59" s="29"/>
      <c r="Q59" s="29"/>
      <c r="R59" s="68"/>
      <c r="S59" s="68"/>
      <c r="T59" s="29"/>
    </row>
    <row r="60" spans="1:21" s="27" customFormat="1" ht="33" x14ac:dyDescent="0.3">
      <c r="A60" s="30" t="s">
        <v>127</v>
      </c>
      <c r="B60" s="30" t="s">
        <v>128</v>
      </c>
      <c r="C60" s="30"/>
      <c r="D60" s="30"/>
      <c r="E60" s="30"/>
      <c r="F60" s="31"/>
      <c r="G60" s="33" t="s">
        <v>145</v>
      </c>
      <c r="H60" s="33" t="s">
        <v>529</v>
      </c>
      <c r="I60" s="30"/>
      <c r="J60" s="30"/>
      <c r="K60" s="30"/>
      <c r="L60" s="30"/>
      <c r="M60" s="29"/>
      <c r="N60" s="29"/>
      <c r="O60" s="29"/>
      <c r="P60" s="29"/>
      <c r="Q60" s="29"/>
      <c r="R60" s="30"/>
      <c r="S60" s="31"/>
      <c r="T60" s="29"/>
    </row>
    <row r="61" spans="1:21" s="27" customFormat="1" x14ac:dyDescent="0.3">
      <c r="A61" s="30" t="s">
        <v>91</v>
      </c>
      <c r="B61" s="30" t="s">
        <v>120</v>
      </c>
      <c r="C61" s="30"/>
      <c r="D61" s="30"/>
      <c r="E61" s="30"/>
      <c r="F61" s="33" t="s">
        <v>148</v>
      </c>
      <c r="G61" s="31" t="s">
        <v>148</v>
      </c>
      <c r="H61" s="62">
        <v>44215</v>
      </c>
      <c r="I61" s="30"/>
      <c r="J61" s="30"/>
      <c r="K61" s="30"/>
      <c r="L61" s="30"/>
      <c r="M61" s="29"/>
      <c r="N61" s="29"/>
      <c r="O61" s="29"/>
      <c r="P61" s="29"/>
      <c r="Q61" s="29"/>
      <c r="R61" s="68"/>
      <c r="S61" s="68"/>
      <c r="T61" s="29"/>
    </row>
    <row r="62" spans="1:21" s="27" customFormat="1" x14ac:dyDescent="0.3">
      <c r="A62" s="30" t="s">
        <v>149</v>
      </c>
      <c r="B62" s="30" t="s">
        <v>150</v>
      </c>
      <c r="C62" s="30"/>
      <c r="D62" s="30"/>
      <c r="E62" s="30"/>
      <c r="F62" s="31" t="s">
        <v>151</v>
      </c>
      <c r="G62" s="31" t="s">
        <v>151</v>
      </c>
      <c r="H62" s="67">
        <v>43872</v>
      </c>
      <c r="I62" s="29"/>
      <c r="J62" s="29"/>
      <c r="K62" s="29"/>
      <c r="L62" s="29"/>
      <c r="M62" s="29"/>
      <c r="N62" s="29"/>
      <c r="O62" s="29"/>
      <c r="P62" s="29"/>
      <c r="Q62" s="29"/>
      <c r="R62" s="30"/>
      <c r="S62" s="31"/>
      <c r="T62" s="29"/>
    </row>
    <row r="63" spans="1:21" s="27" customFormat="1" ht="33" x14ac:dyDescent="0.3">
      <c r="A63" s="30" t="s">
        <v>97</v>
      </c>
      <c r="B63" s="29" t="s">
        <v>152</v>
      </c>
      <c r="C63" s="30"/>
      <c r="D63" s="30"/>
      <c r="E63" s="30" t="s">
        <v>536</v>
      </c>
      <c r="F63" s="31" t="s">
        <v>153</v>
      </c>
      <c r="G63" s="31" t="s">
        <v>153</v>
      </c>
      <c r="H63" s="67" t="s">
        <v>154</v>
      </c>
      <c r="I63" s="29"/>
      <c r="J63" s="29"/>
      <c r="K63" s="29"/>
      <c r="L63" s="29"/>
      <c r="M63" s="29"/>
      <c r="N63" s="29"/>
      <c r="O63" s="29"/>
      <c r="P63" s="29"/>
      <c r="Q63" s="29"/>
      <c r="R63" s="30"/>
      <c r="S63" s="31"/>
      <c r="T63" s="29"/>
    </row>
    <row r="64" spans="1:21" s="27" customFormat="1" x14ac:dyDescent="0.3">
      <c r="A64" s="30" t="s">
        <v>97</v>
      </c>
      <c r="B64" s="29" t="s">
        <v>118</v>
      </c>
      <c r="C64" s="30"/>
      <c r="D64" s="30"/>
      <c r="E64" s="30" t="s">
        <v>537</v>
      </c>
      <c r="F64" s="33" t="s">
        <v>151</v>
      </c>
      <c r="G64" s="33" t="s">
        <v>151</v>
      </c>
      <c r="H64" s="62">
        <v>44287</v>
      </c>
      <c r="I64" s="30"/>
      <c r="J64" s="30"/>
      <c r="K64" s="30"/>
      <c r="L64" s="30"/>
      <c r="M64" s="29"/>
      <c r="N64" s="29"/>
      <c r="O64" s="29"/>
      <c r="P64" s="29"/>
      <c r="Q64" s="29"/>
      <c r="R64" s="30"/>
      <c r="S64" s="31"/>
      <c r="T64" s="29"/>
    </row>
    <row r="65" spans="1:21" s="27" customFormat="1" x14ac:dyDescent="0.3">
      <c r="A65" s="30" t="s">
        <v>97</v>
      </c>
      <c r="B65" s="29" t="s">
        <v>155</v>
      </c>
      <c r="C65" s="30"/>
      <c r="D65" s="30"/>
      <c r="E65" s="30" t="s">
        <v>538</v>
      </c>
      <c r="F65" s="33" t="s">
        <v>151</v>
      </c>
      <c r="G65" s="33" t="s">
        <v>151</v>
      </c>
      <c r="H65" s="62">
        <v>44270</v>
      </c>
      <c r="I65" s="30"/>
      <c r="J65" s="30"/>
      <c r="K65" s="30"/>
      <c r="L65" s="30"/>
      <c r="M65" s="29"/>
      <c r="N65" s="29"/>
      <c r="O65" s="29"/>
      <c r="P65" s="29"/>
      <c r="Q65" s="29"/>
      <c r="R65" s="30"/>
      <c r="S65" s="31"/>
      <c r="T65" s="29"/>
    </row>
    <row r="66" spans="1:21" s="27" customFormat="1" x14ac:dyDescent="0.3">
      <c r="A66" s="30" t="s">
        <v>97</v>
      </c>
      <c r="B66" s="30" t="s">
        <v>129</v>
      </c>
      <c r="C66" s="30"/>
      <c r="D66" s="30"/>
      <c r="E66" s="30"/>
      <c r="F66" s="32" t="s">
        <v>539</v>
      </c>
      <c r="G66" s="31" t="s">
        <v>83</v>
      </c>
      <c r="H66" s="62">
        <v>44292</v>
      </c>
      <c r="I66" s="30"/>
      <c r="J66" s="30"/>
      <c r="K66" s="30"/>
      <c r="L66" s="30"/>
      <c r="M66" s="29"/>
      <c r="N66" s="29"/>
      <c r="O66" s="29"/>
      <c r="P66" s="29"/>
      <c r="Q66" s="29"/>
      <c r="R66" s="30"/>
      <c r="S66" s="31"/>
      <c r="T66" s="29"/>
    </row>
    <row r="67" spans="1:21" s="27" customFormat="1" x14ac:dyDescent="0.3">
      <c r="A67" s="38" t="s">
        <v>158</v>
      </c>
      <c r="B67" s="38" t="s">
        <v>159</v>
      </c>
      <c r="C67" s="38"/>
      <c r="D67" s="38"/>
      <c r="E67" s="38"/>
      <c r="F67" s="48" t="s">
        <v>160</v>
      </c>
      <c r="G67" s="48" t="s">
        <v>161</v>
      </c>
      <c r="H67" s="48" t="s">
        <v>157</v>
      </c>
      <c r="I67" s="38"/>
      <c r="J67" s="38"/>
      <c r="K67" s="38"/>
      <c r="L67" s="38"/>
      <c r="M67" s="37"/>
      <c r="N67" s="37"/>
      <c r="O67" s="37"/>
      <c r="P67" s="37"/>
      <c r="Q67" s="37"/>
      <c r="R67" s="100"/>
      <c r="S67" s="100"/>
      <c r="T67" s="37"/>
    </row>
    <row r="68" spans="1:21" s="27" customFormat="1" x14ac:dyDescent="0.3">
      <c r="A68" s="38" t="s">
        <v>97</v>
      </c>
      <c r="B68" s="38" t="s">
        <v>540</v>
      </c>
      <c r="C68" s="38"/>
      <c r="D68" s="38"/>
      <c r="E68" s="38"/>
      <c r="F68" s="41" t="s">
        <v>541</v>
      </c>
      <c r="G68" s="39" t="s">
        <v>161</v>
      </c>
      <c r="H68" s="99" t="s">
        <v>157</v>
      </c>
      <c r="I68" s="38"/>
      <c r="J68" s="38"/>
      <c r="K68" s="38"/>
      <c r="L68" s="38"/>
      <c r="M68" s="37"/>
      <c r="N68" s="37"/>
      <c r="O68" s="37"/>
      <c r="P68" s="37"/>
      <c r="Q68" s="37"/>
      <c r="R68" s="38"/>
      <c r="S68" s="39"/>
      <c r="T68" s="37"/>
    </row>
    <row r="69" spans="1:21" s="27" customFormat="1" x14ac:dyDescent="0.3">
      <c r="A69" s="38" t="s">
        <v>97</v>
      </c>
      <c r="B69" s="38" t="s">
        <v>162</v>
      </c>
      <c r="C69" s="38"/>
      <c r="D69" s="38"/>
      <c r="E69" s="38"/>
      <c r="F69" s="41" t="s">
        <v>163</v>
      </c>
      <c r="G69" s="39" t="s">
        <v>161</v>
      </c>
      <c r="H69" s="101">
        <v>44470</v>
      </c>
      <c r="I69" s="38"/>
      <c r="J69" s="38"/>
      <c r="K69" s="38"/>
      <c r="L69" s="38"/>
      <c r="M69" s="37"/>
      <c r="N69" s="37"/>
      <c r="O69" s="37"/>
      <c r="P69" s="37"/>
      <c r="Q69" s="37"/>
      <c r="R69" s="38"/>
      <c r="S69" s="39"/>
      <c r="T69" s="37"/>
    </row>
    <row r="70" spans="1:21" s="27" customFormat="1" x14ac:dyDescent="0.3">
      <c r="A70" s="38" t="s">
        <v>97</v>
      </c>
      <c r="B70" s="38" t="s">
        <v>138</v>
      </c>
      <c r="C70" s="38"/>
      <c r="D70" s="38"/>
      <c r="E70" s="38"/>
      <c r="F70" s="41" t="s">
        <v>542</v>
      </c>
      <c r="G70" s="39" t="s">
        <v>161</v>
      </c>
      <c r="H70" s="76" t="s">
        <v>157</v>
      </c>
      <c r="I70" s="38"/>
      <c r="J70" s="38"/>
      <c r="K70" s="38"/>
      <c r="L70" s="38"/>
      <c r="M70" s="37"/>
      <c r="N70" s="37"/>
      <c r="O70" s="37"/>
      <c r="P70" s="37"/>
      <c r="Q70" s="37"/>
      <c r="R70" s="38"/>
      <c r="S70" s="39"/>
      <c r="T70" s="37"/>
    </row>
    <row r="71" spans="1:21" ht="42.75" customHeight="1" x14ac:dyDescent="0.3">
      <c r="A71" s="92" t="s">
        <v>312</v>
      </c>
      <c r="B71" s="93"/>
      <c r="C71" s="93"/>
      <c r="D71" s="93"/>
      <c r="E71" s="93"/>
      <c r="F71" s="93"/>
      <c r="G71" s="93"/>
      <c r="H71" s="94"/>
      <c r="I71" s="17" t="s">
        <v>59</v>
      </c>
      <c r="J71" s="17"/>
      <c r="K71" s="19" t="s">
        <v>543</v>
      </c>
      <c r="L71" s="18" t="s">
        <v>544</v>
      </c>
      <c r="M71" s="20" t="s">
        <v>545</v>
      </c>
      <c r="N71" s="20" t="s">
        <v>546</v>
      </c>
      <c r="O71" s="21">
        <v>100</v>
      </c>
      <c r="P71" s="77" t="s">
        <v>479</v>
      </c>
      <c r="Q71" s="23" t="s">
        <v>547</v>
      </c>
      <c r="R71" s="24" t="s">
        <v>8</v>
      </c>
      <c r="S71" s="25">
        <v>25</v>
      </c>
      <c r="T71" s="26">
        <v>45063</v>
      </c>
      <c r="U71" s="27"/>
    </row>
    <row r="72" spans="1:21" x14ac:dyDescent="0.3">
      <c r="A72" s="40" t="s">
        <v>80</v>
      </c>
      <c r="B72" s="40" t="s">
        <v>81</v>
      </c>
      <c r="C72" s="40"/>
      <c r="D72" s="40"/>
      <c r="E72" s="40"/>
      <c r="F72" s="79"/>
      <c r="G72" s="79"/>
      <c r="H72" s="79"/>
      <c r="I72" s="78"/>
      <c r="J72" s="78"/>
      <c r="K72" s="78"/>
      <c r="L72" s="78"/>
      <c r="M72" s="48"/>
      <c r="N72" s="78"/>
      <c r="O72" s="78"/>
      <c r="P72" s="78"/>
      <c r="Q72" s="78"/>
      <c r="R72" s="38"/>
      <c r="S72" s="39"/>
      <c r="T72" s="37"/>
      <c r="U72" s="27"/>
    </row>
    <row r="73" spans="1:21" s="27" customFormat="1" ht="49.5" x14ac:dyDescent="0.3">
      <c r="A73" s="38" t="s">
        <v>85</v>
      </c>
      <c r="B73" s="38" t="s">
        <v>167</v>
      </c>
      <c r="C73" s="38" t="s">
        <v>485</v>
      </c>
      <c r="D73" s="38"/>
      <c r="E73" s="38"/>
      <c r="F73" s="38"/>
      <c r="G73" s="38"/>
      <c r="H73" s="39" t="s">
        <v>204</v>
      </c>
      <c r="I73" s="37"/>
      <c r="J73" s="37"/>
      <c r="K73" s="37"/>
      <c r="L73" s="37"/>
      <c r="M73" s="48"/>
      <c r="N73" s="37"/>
      <c r="O73" s="37"/>
      <c r="P73" s="37"/>
      <c r="Q73" s="37"/>
      <c r="R73" s="38"/>
      <c r="S73" s="39"/>
      <c r="T73" s="37"/>
    </row>
    <row r="74" spans="1:21" s="27" customFormat="1" x14ac:dyDescent="0.3">
      <c r="A74" s="38" t="s">
        <v>97</v>
      </c>
      <c r="B74" s="38" t="s">
        <v>98</v>
      </c>
      <c r="C74" s="38"/>
      <c r="D74" s="38" t="s">
        <v>488</v>
      </c>
      <c r="E74" s="38"/>
      <c r="F74" s="39"/>
      <c r="G74" s="37"/>
      <c r="H74" s="39" t="s">
        <v>169</v>
      </c>
      <c r="I74" s="37"/>
      <c r="J74" s="37"/>
      <c r="K74" s="37"/>
      <c r="L74" s="37"/>
      <c r="M74" s="48"/>
      <c r="N74" s="37"/>
      <c r="O74" s="37"/>
      <c r="P74" s="37"/>
      <c r="Q74" s="37"/>
      <c r="R74" s="38"/>
      <c r="S74" s="39"/>
      <c r="T74" s="37"/>
    </row>
    <row r="75" spans="1:21" s="27" customFormat="1" x14ac:dyDescent="0.3">
      <c r="A75" s="38" t="s">
        <v>97</v>
      </c>
      <c r="B75" s="38" t="s">
        <v>170</v>
      </c>
      <c r="C75" s="38"/>
      <c r="D75" s="38"/>
      <c r="E75" s="38"/>
      <c r="F75" s="39"/>
      <c r="G75" s="37"/>
      <c r="H75" s="39" t="s">
        <v>169</v>
      </c>
      <c r="I75" s="37"/>
      <c r="J75" s="37"/>
      <c r="K75" s="37"/>
      <c r="L75" s="37"/>
      <c r="M75" s="48"/>
      <c r="N75" s="37"/>
      <c r="O75" s="37"/>
      <c r="P75" s="37"/>
      <c r="Q75" s="37"/>
      <c r="R75" s="38"/>
      <c r="S75" s="39"/>
      <c r="T75" s="37"/>
    </row>
    <row r="76" spans="1:21" s="27" customFormat="1" x14ac:dyDescent="0.3">
      <c r="A76" s="38" t="s">
        <v>91</v>
      </c>
      <c r="B76" s="38" t="s">
        <v>92</v>
      </c>
      <c r="C76" s="38"/>
      <c r="D76" s="38"/>
      <c r="E76" s="38"/>
      <c r="F76" s="39"/>
      <c r="G76" s="37"/>
      <c r="H76" s="39" t="s">
        <v>169</v>
      </c>
      <c r="I76" s="37"/>
      <c r="J76" s="37"/>
      <c r="K76" s="37"/>
      <c r="L76" s="37"/>
      <c r="M76" s="48"/>
      <c r="N76" s="37"/>
      <c r="O76" s="37"/>
      <c r="P76" s="37"/>
      <c r="Q76" s="37"/>
      <c r="R76" s="38"/>
      <c r="S76" s="39"/>
      <c r="T76" s="37"/>
    </row>
    <row r="77" spans="1:21" s="27" customFormat="1" x14ac:dyDescent="0.3">
      <c r="A77" s="38" t="s">
        <v>104</v>
      </c>
      <c r="B77" s="38" t="s">
        <v>105</v>
      </c>
      <c r="C77" s="38"/>
      <c r="D77" s="38"/>
      <c r="E77" s="38"/>
      <c r="F77" s="39"/>
      <c r="G77" s="37"/>
      <c r="H77" s="39" t="s">
        <v>169</v>
      </c>
      <c r="I77" s="37"/>
      <c r="J77" s="37"/>
      <c r="K77" s="37"/>
      <c r="L77" s="37"/>
      <c r="M77" s="48"/>
      <c r="N77" s="37"/>
      <c r="O77" s="37"/>
      <c r="P77" s="37"/>
      <c r="Q77" s="37"/>
      <c r="R77" s="38"/>
      <c r="S77" s="39"/>
      <c r="T77" s="37"/>
    </row>
    <row r="78" spans="1:21" s="27" customFormat="1" x14ac:dyDescent="0.3">
      <c r="A78" s="38" t="s">
        <v>97</v>
      </c>
      <c r="B78" s="38" t="s">
        <v>107</v>
      </c>
      <c r="C78" s="38"/>
      <c r="D78" s="38"/>
      <c r="E78" s="38"/>
      <c r="F78" s="39"/>
      <c r="G78" s="37"/>
      <c r="H78" s="39" t="s">
        <v>172</v>
      </c>
      <c r="I78" s="37"/>
      <c r="J78" s="37"/>
      <c r="K78" s="37"/>
      <c r="L78" s="37"/>
      <c r="M78" s="48"/>
      <c r="N78" s="48"/>
      <c r="O78" s="80"/>
      <c r="P78" s="51"/>
      <c r="Q78" s="51"/>
      <c r="R78" s="38"/>
      <c r="S78" s="39"/>
      <c r="T78" s="52"/>
    </row>
    <row r="79" spans="1:21" x14ac:dyDescent="0.3">
      <c r="A79" s="38" t="s">
        <v>97</v>
      </c>
      <c r="B79" s="38" t="s">
        <v>110</v>
      </c>
      <c r="C79" s="38"/>
      <c r="D79" s="38"/>
      <c r="E79" s="38"/>
      <c r="F79" s="39"/>
      <c r="G79" s="81"/>
      <c r="H79" s="39" t="s">
        <v>172</v>
      </c>
      <c r="I79" s="37"/>
      <c r="J79" s="37"/>
      <c r="K79" s="37"/>
      <c r="L79" s="37"/>
      <c r="M79" s="48"/>
      <c r="N79" s="37"/>
      <c r="O79" s="37"/>
      <c r="P79" s="37"/>
      <c r="Q79" s="37"/>
      <c r="R79" s="38"/>
      <c r="S79" s="39"/>
      <c r="T79" s="37"/>
      <c r="U79" s="27"/>
    </row>
    <row r="80" spans="1:21" s="27" customFormat="1" ht="33" x14ac:dyDescent="0.3">
      <c r="A80" s="92" t="s">
        <v>548</v>
      </c>
      <c r="B80" s="95"/>
      <c r="C80" s="95"/>
      <c r="D80" s="95"/>
      <c r="E80" s="95"/>
      <c r="F80" s="95"/>
      <c r="G80" s="95"/>
      <c r="H80" s="96"/>
      <c r="I80" s="18" t="s">
        <v>549</v>
      </c>
      <c r="J80" s="18"/>
      <c r="K80" s="18"/>
      <c r="L80" s="18" t="s">
        <v>550</v>
      </c>
      <c r="M80" s="20" t="s">
        <v>477</v>
      </c>
      <c r="N80" s="44" t="s">
        <v>551</v>
      </c>
      <c r="O80" s="21">
        <v>160</v>
      </c>
      <c r="P80" s="23" t="s">
        <v>479</v>
      </c>
      <c r="Q80" s="23" t="s">
        <v>552</v>
      </c>
      <c r="R80" s="46" t="s">
        <v>14</v>
      </c>
      <c r="S80" s="25">
        <v>20</v>
      </c>
      <c r="T80" s="26">
        <v>45169</v>
      </c>
    </row>
    <row r="81" spans="1:20" s="27" customFormat="1" x14ac:dyDescent="0.3">
      <c r="A81" s="30" t="s">
        <v>97</v>
      </c>
      <c r="B81" s="29" t="s">
        <v>118</v>
      </c>
      <c r="C81" s="30"/>
      <c r="D81" s="30"/>
      <c r="E81" s="30" t="s">
        <v>553</v>
      </c>
      <c r="F81" s="31"/>
      <c r="G81" s="32" t="s">
        <v>151</v>
      </c>
      <c r="H81" s="82">
        <v>42005</v>
      </c>
      <c r="I81" s="30"/>
      <c r="J81" s="30"/>
      <c r="K81" s="30"/>
      <c r="L81" s="30"/>
      <c r="M81" s="29"/>
      <c r="N81" s="29"/>
      <c r="O81" s="29"/>
      <c r="P81" s="29"/>
      <c r="Q81" s="29"/>
      <c r="R81" s="30"/>
      <c r="S81" s="31"/>
      <c r="T81" s="29"/>
    </row>
    <row r="82" spans="1:20" s="27" customFormat="1" x14ac:dyDescent="0.3">
      <c r="A82" s="30" t="s">
        <v>97</v>
      </c>
      <c r="B82" s="29" t="s">
        <v>117</v>
      </c>
      <c r="C82" s="30"/>
      <c r="D82" s="30"/>
      <c r="E82" s="30" t="s">
        <v>554</v>
      </c>
      <c r="F82" s="31"/>
      <c r="G82" s="32" t="s">
        <v>83</v>
      </c>
      <c r="H82" s="102">
        <v>2015</v>
      </c>
      <c r="I82" s="30"/>
      <c r="J82" s="30"/>
      <c r="K82" s="30"/>
      <c r="L82" s="30"/>
      <c r="M82" s="29"/>
      <c r="N82" s="29"/>
      <c r="O82" s="29"/>
      <c r="P82" s="29"/>
      <c r="Q82" s="29"/>
      <c r="R82" s="30"/>
      <c r="S82" s="31"/>
      <c r="T82" s="29"/>
    </row>
    <row r="83" spans="1:20" s="27" customFormat="1" ht="82.5" x14ac:dyDescent="0.3">
      <c r="A83" s="30" t="s">
        <v>85</v>
      </c>
      <c r="B83" s="30" t="s">
        <v>167</v>
      </c>
      <c r="C83" s="30" t="s">
        <v>503</v>
      </c>
      <c r="D83" s="30" t="s">
        <v>555</v>
      </c>
      <c r="E83" s="30" t="s">
        <v>556</v>
      </c>
      <c r="F83" s="31"/>
      <c r="G83" s="30" t="s">
        <v>557</v>
      </c>
      <c r="H83" s="30" t="s">
        <v>557</v>
      </c>
      <c r="I83" s="30"/>
      <c r="J83" s="30"/>
      <c r="K83" s="30"/>
      <c r="L83" s="30"/>
      <c r="M83" s="29"/>
      <c r="N83" s="29"/>
      <c r="O83" s="29"/>
      <c r="P83" s="29"/>
      <c r="Q83" s="29"/>
      <c r="R83" s="30"/>
      <c r="S83" s="31"/>
      <c r="T83" s="29"/>
    </row>
    <row r="84" spans="1:20" s="27" customFormat="1" x14ac:dyDescent="0.3">
      <c r="A84" s="30" t="s">
        <v>97</v>
      </c>
      <c r="B84" s="30" t="s">
        <v>176</v>
      </c>
      <c r="C84" s="30"/>
      <c r="D84" s="30"/>
      <c r="E84" s="30"/>
      <c r="F84" s="32"/>
      <c r="G84" s="32" t="s">
        <v>151</v>
      </c>
      <c r="H84" s="82">
        <v>43800</v>
      </c>
      <c r="I84" s="30"/>
      <c r="J84" s="30"/>
      <c r="K84" s="30"/>
      <c r="L84" s="30"/>
      <c r="M84" s="33"/>
      <c r="N84" s="66"/>
      <c r="O84" s="34"/>
      <c r="P84" s="35"/>
      <c r="Q84" s="35"/>
      <c r="R84" s="30"/>
      <c r="S84" s="31"/>
      <c r="T84" s="36"/>
    </row>
    <row r="85" spans="1:20" s="27" customFormat="1" x14ac:dyDescent="0.3">
      <c r="A85" s="30" t="s">
        <v>97</v>
      </c>
      <c r="B85" s="29" t="s">
        <v>155</v>
      </c>
      <c r="C85" s="30"/>
      <c r="D85" s="30"/>
      <c r="E85" s="30" t="s">
        <v>558</v>
      </c>
      <c r="F85" s="31"/>
      <c r="G85" s="32" t="s">
        <v>151</v>
      </c>
      <c r="H85" s="82">
        <v>43756</v>
      </c>
      <c r="I85" s="30"/>
      <c r="J85" s="30"/>
      <c r="K85" s="30"/>
      <c r="L85" s="30"/>
      <c r="M85" s="29"/>
      <c r="N85" s="29"/>
      <c r="O85" s="29"/>
      <c r="P85" s="29"/>
      <c r="Q85" s="29"/>
      <c r="R85" s="30"/>
      <c r="S85" s="31"/>
      <c r="T85" s="29"/>
    </row>
    <row r="86" spans="1:20" s="27" customFormat="1" x14ac:dyDescent="0.3">
      <c r="A86" s="30" t="s">
        <v>97</v>
      </c>
      <c r="B86" s="29" t="s">
        <v>155</v>
      </c>
      <c r="C86" s="30"/>
      <c r="D86" s="30"/>
      <c r="E86" s="30" t="s">
        <v>559</v>
      </c>
      <c r="F86" s="31"/>
      <c r="G86" s="32" t="s">
        <v>151</v>
      </c>
      <c r="H86" s="82">
        <v>43757</v>
      </c>
      <c r="I86" s="30"/>
      <c r="J86" s="30"/>
      <c r="K86" s="30"/>
      <c r="L86" s="30"/>
      <c r="M86" s="29"/>
      <c r="N86" s="29"/>
      <c r="O86" s="29"/>
      <c r="P86" s="29"/>
      <c r="Q86" s="29"/>
      <c r="R86" s="30"/>
      <c r="S86" s="31"/>
      <c r="T86" s="29"/>
    </row>
    <row r="87" spans="1:20" s="27" customFormat="1" x14ac:dyDescent="0.3">
      <c r="A87" s="30" t="s">
        <v>91</v>
      </c>
      <c r="B87" s="30" t="s">
        <v>177</v>
      </c>
      <c r="C87" s="30"/>
      <c r="D87" s="30"/>
      <c r="E87" s="30"/>
      <c r="F87" s="32"/>
      <c r="G87" s="32" t="s">
        <v>151</v>
      </c>
      <c r="H87" s="82">
        <v>43800</v>
      </c>
      <c r="I87" s="30"/>
      <c r="J87" s="30"/>
      <c r="K87" s="30"/>
      <c r="L87" s="30"/>
      <c r="M87" s="29"/>
      <c r="N87" s="29"/>
      <c r="O87" s="29"/>
      <c r="P87" s="29"/>
      <c r="Q87" s="29"/>
      <c r="R87" s="30"/>
      <c r="S87" s="31"/>
      <c r="T87" s="29"/>
    </row>
    <row r="88" spans="1:20" s="27" customFormat="1" x14ac:dyDescent="0.3">
      <c r="A88" s="30" t="s">
        <v>97</v>
      </c>
      <c r="B88" s="47" t="s">
        <v>117</v>
      </c>
      <c r="C88" s="30"/>
      <c r="D88" s="30"/>
      <c r="E88" s="30" t="s">
        <v>560</v>
      </c>
      <c r="F88" s="31"/>
      <c r="G88" s="32" t="s">
        <v>151</v>
      </c>
      <c r="H88" s="82">
        <v>44044</v>
      </c>
      <c r="I88" s="30"/>
      <c r="J88" s="30"/>
      <c r="K88" s="30"/>
      <c r="L88" s="30"/>
      <c r="M88" s="29"/>
      <c r="N88" s="29"/>
      <c r="O88" s="29"/>
      <c r="P88" s="29"/>
      <c r="Q88" s="29"/>
      <c r="R88" s="30"/>
      <c r="S88" s="31"/>
      <c r="T88" s="29"/>
    </row>
    <row r="89" spans="1:20" s="27" customFormat="1" x14ac:dyDescent="0.3">
      <c r="A89" s="30" t="s">
        <v>97</v>
      </c>
      <c r="B89" s="29" t="s">
        <v>155</v>
      </c>
      <c r="C89" s="30"/>
      <c r="D89" s="30"/>
      <c r="E89" s="30" t="s">
        <v>561</v>
      </c>
      <c r="F89" s="31"/>
      <c r="G89" s="32" t="s">
        <v>151</v>
      </c>
      <c r="H89" s="82">
        <v>44044</v>
      </c>
      <c r="I89" s="30"/>
      <c r="J89" s="30"/>
      <c r="K89" s="30"/>
      <c r="L89" s="30"/>
      <c r="M89" s="29"/>
      <c r="N89" s="29"/>
      <c r="O89" s="29"/>
      <c r="P89" s="29"/>
      <c r="Q89" s="29"/>
      <c r="R89" s="30"/>
      <c r="S89" s="31"/>
      <c r="T89" s="29"/>
    </row>
    <row r="90" spans="1:20" s="27" customFormat="1" x14ac:dyDescent="0.3">
      <c r="A90" s="30" t="s">
        <v>178</v>
      </c>
      <c r="B90" s="30" t="s">
        <v>562</v>
      </c>
      <c r="C90" s="30"/>
      <c r="D90" s="30"/>
      <c r="E90" s="30"/>
      <c r="F90" s="31"/>
      <c r="G90" s="31" t="s">
        <v>180</v>
      </c>
      <c r="H90" s="67">
        <v>44112</v>
      </c>
      <c r="I90" s="30"/>
      <c r="J90" s="30"/>
      <c r="K90" s="30"/>
      <c r="L90" s="30"/>
      <c r="M90" s="29"/>
      <c r="N90" s="29"/>
      <c r="O90" s="29"/>
      <c r="P90" s="29"/>
      <c r="Q90" s="29"/>
      <c r="R90" s="30"/>
      <c r="S90" s="31"/>
      <c r="T90" s="29"/>
    </row>
    <row r="91" spans="1:20" s="27" customFormat="1" x14ac:dyDescent="0.3">
      <c r="A91" s="30" t="s">
        <v>158</v>
      </c>
      <c r="B91" s="30" t="s">
        <v>181</v>
      </c>
      <c r="C91" s="30"/>
      <c r="D91" s="30"/>
      <c r="E91" s="30"/>
      <c r="F91" s="32"/>
      <c r="G91" s="32" t="s">
        <v>182</v>
      </c>
      <c r="H91" s="32"/>
      <c r="I91" s="30"/>
      <c r="J91" s="30"/>
      <c r="K91" s="30"/>
      <c r="L91" s="30"/>
      <c r="M91" s="29"/>
      <c r="N91" s="29"/>
      <c r="O91" s="29"/>
      <c r="P91" s="29"/>
      <c r="Q91" s="29"/>
      <c r="R91" s="30"/>
      <c r="S91" s="31"/>
      <c r="T91" s="29"/>
    </row>
    <row r="92" spans="1:20" s="27" customFormat="1" x14ac:dyDescent="0.3">
      <c r="A92" s="38" t="s">
        <v>80</v>
      </c>
      <c r="B92" s="38" t="s">
        <v>185</v>
      </c>
      <c r="C92" s="38"/>
      <c r="D92" s="38"/>
      <c r="E92" s="38"/>
      <c r="F92" s="41"/>
      <c r="G92" s="41" t="s">
        <v>186</v>
      </c>
      <c r="H92" s="41"/>
      <c r="I92" s="38"/>
      <c r="J92" s="38"/>
      <c r="K92" s="38"/>
      <c r="L92" s="38"/>
      <c r="M92" s="37"/>
      <c r="N92" s="37"/>
      <c r="O92" s="37"/>
      <c r="P92" s="37"/>
      <c r="Q92" s="37"/>
      <c r="R92" s="38"/>
      <c r="S92" s="39"/>
      <c r="T92" s="37"/>
    </row>
    <row r="93" spans="1:20" s="27" customFormat="1" x14ac:dyDescent="0.3">
      <c r="A93" s="38" t="s">
        <v>97</v>
      </c>
      <c r="B93" s="38" t="s">
        <v>187</v>
      </c>
      <c r="C93" s="38"/>
      <c r="D93" s="38"/>
      <c r="E93" s="38"/>
      <c r="F93" s="39" t="s">
        <v>491</v>
      </c>
      <c r="G93" s="39"/>
      <c r="H93" s="39" t="s">
        <v>189</v>
      </c>
      <c r="I93" s="38"/>
      <c r="J93" s="38"/>
      <c r="K93" s="38"/>
      <c r="L93" s="38"/>
      <c r="M93" s="37"/>
      <c r="N93" s="37"/>
      <c r="O93" s="37"/>
      <c r="P93" s="37"/>
      <c r="Q93" s="37"/>
      <c r="R93" s="38"/>
      <c r="S93" s="39"/>
      <c r="T93" s="37"/>
    </row>
    <row r="94" spans="1:20" s="27" customFormat="1" x14ac:dyDescent="0.3">
      <c r="A94" s="38" t="s">
        <v>97</v>
      </c>
      <c r="B94" s="38" t="s">
        <v>190</v>
      </c>
      <c r="C94" s="38"/>
      <c r="D94" s="38"/>
      <c r="E94" s="38"/>
      <c r="F94" s="39" t="s">
        <v>491</v>
      </c>
      <c r="G94" s="39"/>
      <c r="H94" s="39" t="s">
        <v>189</v>
      </c>
      <c r="I94" s="38"/>
      <c r="J94" s="38"/>
      <c r="K94" s="38"/>
      <c r="L94" s="38"/>
      <c r="M94" s="37"/>
      <c r="N94" s="37"/>
      <c r="O94" s="37"/>
      <c r="P94" s="37"/>
      <c r="Q94" s="37"/>
      <c r="R94" s="38"/>
      <c r="S94" s="39"/>
      <c r="T94" s="37"/>
    </row>
    <row r="95" spans="1:20" s="27" customFormat="1" x14ac:dyDescent="0.3">
      <c r="A95" s="38" t="s">
        <v>97</v>
      </c>
      <c r="B95" s="38" t="s">
        <v>192</v>
      </c>
      <c r="C95" s="38"/>
      <c r="D95" s="38"/>
      <c r="E95" s="38"/>
      <c r="F95" s="39" t="s">
        <v>491</v>
      </c>
      <c r="G95" s="39"/>
      <c r="H95" s="39" t="s">
        <v>189</v>
      </c>
      <c r="I95" s="38"/>
      <c r="J95" s="38"/>
      <c r="K95" s="38"/>
      <c r="L95" s="38"/>
      <c r="M95" s="37"/>
      <c r="N95" s="37"/>
      <c r="O95" s="37"/>
      <c r="P95" s="37"/>
      <c r="Q95" s="37"/>
      <c r="R95" s="38"/>
      <c r="S95" s="39"/>
      <c r="T95" s="37"/>
    </row>
    <row r="96" spans="1:20" s="27" customFormat="1" x14ac:dyDescent="0.3">
      <c r="A96" s="38" t="s">
        <v>91</v>
      </c>
      <c r="B96" s="38" t="s">
        <v>271</v>
      </c>
      <c r="C96" s="38"/>
      <c r="D96" s="38"/>
      <c r="E96" s="38"/>
      <c r="F96" s="39" t="s">
        <v>491</v>
      </c>
      <c r="G96" s="39"/>
      <c r="H96" s="39" t="s">
        <v>189</v>
      </c>
      <c r="I96" s="38"/>
      <c r="J96" s="38"/>
      <c r="K96" s="38"/>
      <c r="L96" s="38"/>
      <c r="M96" s="37"/>
      <c r="N96" s="37"/>
      <c r="O96" s="37"/>
      <c r="P96" s="37"/>
      <c r="Q96" s="37"/>
      <c r="R96" s="38"/>
      <c r="S96" s="39"/>
      <c r="T96" s="37"/>
    </row>
    <row r="97" spans="1:21" s="27" customFormat="1" x14ac:dyDescent="0.3">
      <c r="A97" s="38" t="s">
        <v>91</v>
      </c>
      <c r="B97" s="38" t="s">
        <v>492</v>
      </c>
      <c r="C97" s="38"/>
      <c r="D97" s="38"/>
      <c r="E97" s="38"/>
      <c r="F97" s="39" t="s">
        <v>491</v>
      </c>
      <c r="G97" s="39"/>
      <c r="H97" s="39" t="s">
        <v>189</v>
      </c>
      <c r="I97" s="38"/>
      <c r="J97" s="38"/>
      <c r="K97" s="38"/>
      <c r="L97" s="38"/>
      <c r="M97" s="37"/>
      <c r="N97" s="37"/>
      <c r="O97" s="37"/>
      <c r="P97" s="37"/>
      <c r="Q97" s="37"/>
      <c r="R97" s="38"/>
      <c r="S97" s="39"/>
      <c r="T97" s="37"/>
    </row>
    <row r="98" spans="1:21" s="27" customFormat="1" x14ac:dyDescent="0.3">
      <c r="A98" s="38" t="s">
        <v>97</v>
      </c>
      <c r="B98" s="38" t="s">
        <v>197</v>
      </c>
      <c r="C98" s="38"/>
      <c r="D98" s="38"/>
      <c r="E98" s="38"/>
      <c r="F98" s="39" t="s">
        <v>491</v>
      </c>
      <c r="G98" s="39"/>
      <c r="H98" s="39" t="s">
        <v>199</v>
      </c>
      <c r="I98" s="38"/>
      <c r="J98" s="38"/>
      <c r="K98" s="38"/>
      <c r="L98" s="38"/>
      <c r="M98" s="37"/>
      <c r="N98" s="37"/>
      <c r="O98" s="37"/>
      <c r="P98" s="37"/>
      <c r="Q98" s="37"/>
      <c r="R98" s="38"/>
      <c r="S98" s="39"/>
      <c r="T98" s="37"/>
    </row>
    <row r="99" spans="1:21" s="27" customFormat="1" x14ac:dyDescent="0.3">
      <c r="A99" s="38" t="s">
        <v>97</v>
      </c>
      <c r="B99" s="38" t="s">
        <v>138</v>
      </c>
      <c r="C99" s="38"/>
      <c r="D99" s="38"/>
      <c r="E99" s="38"/>
      <c r="F99" s="39" t="s">
        <v>491</v>
      </c>
      <c r="G99" s="39"/>
      <c r="H99" s="39" t="s">
        <v>199</v>
      </c>
      <c r="I99" s="38"/>
      <c r="J99" s="38"/>
      <c r="K99" s="38"/>
      <c r="L99" s="38"/>
      <c r="M99" s="37"/>
      <c r="N99" s="37"/>
      <c r="O99" s="37"/>
      <c r="P99" s="37"/>
      <c r="Q99" s="37"/>
      <c r="R99" s="38"/>
      <c r="S99" s="39"/>
      <c r="T99" s="37"/>
    </row>
    <row r="100" spans="1:21" s="27" customFormat="1" x14ac:dyDescent="0.3">
      <c r="A100" s="38" t="s">
        <v>97</v>
      </c>
      <c r="B100" s="38" t="s">
        <v>183</v>
      </c>
      <c r="C100" s="38"/>
      <c r="D100" s="38"/>
      <c r="E100" s="38"/>
      <c r="F100" s="39" t="s">
        <v>491</v>
      </c>
      <c r="G100" s="39"/>
      <c r="H100" s="39" t="s">
        <v>199</v>
      </c>
      <c r="I100" s="38"/>
      <c r="J100" s="38"/>
      <c r="K100" s="38"/>
      <c r="L100" s="38"/>
      <c r="M100" s="37"/>
      <c r="N100" s="37"/>
      <c r="O100" s="37"/>
      <c r="P100" s="37"/>
      <c r="Q100" s="37"/>
      <c r="R100" s="38"/>
      <c r="S100" s="39"/>
      <c r="T100" s="37"/>
    </row>
    <row r="101" spans="1:21" ht="66" x14ac:dyDescent="0.3">
      <c r="A101" s="92" t="s">
        <v>201</v>
      </c>
      <c r="B101" s="95"/>
      <c r="C101" s="95"/>
      <c r="D101" s="95"/>
      <c r="E101" s="95"/>
      <c r="F101" s="95"/>
      <c r="G101" s="95"/>
      <c r="H101" s="96"/>
      <c r="I101" s="17" t="s">
        <v>59</v>
      </c>
      <c r="J101" s="17"/>
      <c r="K101" s="19" t="s">
        <v>201</v>
      </c>
      <c r="L101" s="18" t="s">
        <v>563</v>
      </c>
      <c r="M101" s="20" t="s">
        <v>141</v>
      </c>
      <c r="N101" s="20" t="s">
        <v>564</v>
      </c>
      <c r="O101" s="21">
        <v>387</v>
      </c>
      <c r="P101" s="23" t="s">
        <v>565</v>
      </c>
      <c r="Q101" s="23" t="s">
        <v>566</v>
      </c>
      <c r="R101" s="24" t="s">
        <v>12</v>
      </c>
      <c r="S101" s="25">
        <v>20</v>
      </c>
      <c r="T101" s="26">
        <v>45229</v>
      </c>
      <c r="U101" s="27"/>
    </row>
    <row r="102" spans="1:21" x14ac:dyDescent="0.3">
      <c r="A102" s="40" t="s">
        <v>80</v>
      </c>
      <c r="B102" s="40" t="s">
        <v>81</v>
      </c>
      <c r="C102" s="40"/>
      <c r="D102" s="40"/>
      <c r="E102" s="40"/>
      <c r="F102" s="79"/>
      <c r="G102" s="79" t="s">
        <v>186</v>
      </c>
      <c r="H102" s="79"/>
      <c r="I102" s="78"/>
      <c r="J102" s="78"/>
      <c r="K102" s="78"/>
      <c r="L102" s="78"/>
      <c r="M102" s="48"/>
      <c r="N102" s="78"/>
      <c r="O102" s="78"/>
      <c r="P102" s="78"/>
      <c r="Q102" s="78"/>
      <c r="R102" s="38"/>
      <c r="S102" s="39"/>
      <c r="T102" s="37"/>
      <c r="U102" s="27"/>
    </row>
    <row r="103" spans="1:21" x14ac:dyDescent="0.3">
      <c r="A103" s="83" t="s">
        <v>202</v>
      </c>
      <c r="B103" s="83" t="s">
        <v>203</v>
      </c>
      <c r="C103" s="83"/>
      <c r="D103" s="83"/>
      <c r="E103" s="83"/>
      <c r="F103" s="48"/>
      <c r="G103" s="81"/>
      <c r="H103" s="48" t="s">
        <v>204</v>
      </c>
      <c r="I103" s="37"/>
      <c r="J103" s="37"/>
      <c r="K103" s="37"/>
      <c r="L103" s="37"/>
      <c r="M103" s="48"/>
      <c r="N103" s="37"/>
      <c r="O103" s="37"/>
      <c r="P103" s="37"/>
      <c r="Q103" s="37"/>
      <c r="R103" s="38"/>
      <c r="S103" s="39"/>
      <c r="T103" s="37"/>
      <c r="U103" s="27"/>
    </row>
    <row r="104" spans="1:21" ht="49.5" x14ac:dyDescent="0.3">
      <c r="A104" s="38" t="s">
        <v>85</v>
      </c>
      <c r="B104" s="38" t="s">
        <v>167</v>
      </c>
      <c r="C104" s="38" t="s">
        <v>485</v>
      </c>
      <c r="D104" s="38" t="s">
        <v>567</v>
      </c>
      <c r="E104" s="38"/>
      <c r="F104" s="38" t="s">
        <v>568</v>
      </c>
      <c r="G104" s="38" t="s">
        <v>569</v>
      </c>
      <c r="H104" s="39" t="s">
        <v>204</v>
      </c>
      <c r="I104" s="37"/>
      <c r="J104" s="37"/>
      <c r="K104" s="37"/>
      <c r="L104" s="37"/>
      <c r="M104" s="48"/>
      <c r="N104" s="37"/>
      <c r="O104" s="37"/>
      <c r="P104" s="37"/>
      <c r="Q104" s="37"/>
      <c r="R104" s="38"/>
      <c r="S104" s="39"/>
      <c r="T104" s="37"/>
      <c r="U104" s="27"/>
    </row>
    <row r="105" spans="1:21" x14ac:dyDescent="0.3">
      <c r="A105" s="38" t="s">
        <v>149</v>
      </c>
      <c r="B105" s="38" t="s">
        <v>207</v>
      </c>
      <c r="C105" s="38"/>
      <c r="D105" s="38"/>
      <c r="E105" s="38"/>
      <c r="F105" s="39"/>
      <c r="G105" s="81"/>
      <c r="H105" s="39" t="s">
        <v>106</v>
      </c>
      <c r="I105" s="37"/>
      <c r="J105" s="37"/>
      <c r="K105" s="37"/>
      <c r="L105" s="37"/>
      <c r="M105" s="48"/>
      <c r="N105" s="37"/>
      <c r="O105" s="37"/>
      <c r="P105" s="37"/>
      <c r="Q105" s="37"/>
      <c r="R105" s="38"/>
      <c r="S105" s="39"/>
      <c r="T105" s="37"/>
      <c r="U105" s="27"/>
    </row>
    <row r="106" spans="1:21" x14ac:dyDescent="0.3">
      <c r="A106" s="38" t="s">
        <v>97</v>
      </c>
      <c r="B106" s="38" t="s">
        <v>98</v>
      </c>
      <c r="C106" s="38"/>
      <c r="D106" s="38" t="s">
        <v>570</v>
      </c>
      <c r="E106" s="38"/>
      <c r="F106" s="39"/>
      <c r="G106" s="81"/>
      <c r="H106" s="39" t="s">
        <v>169</v>
      </c>
      <c r="I106" s="37"/>
      <c r="J106" s="37"/>
      <c r="K106" s="37"/>
      <c r="L106" s="37"/>
      <c r="M106" s="48"/>
      <c r="N106" s="37"/>
      <c r="O106" s="37"/>
      <c r="P106" s="37"/>
      <c r="Q106" s="37"/>
      <c r="R106" s="38"/>
      <c r="S106" s="39"/>
      <c r="T106" s="37"/>
      <c r="U106" s="27"/>
    </row>
    <row r="107" spans="1:21" ht="14.65" customHeight="1" x14ac:dyDescent="0.3">
      <c r="A107" s="38" t="s">
        <v>97</v>
      </c>
      <c r="B107" s="38" t="s">
        <v>119</v>
      </c>
      <c r="C107" s="38"/>
      <c r="D107" s="38"/>
      <c r="E107" s="38"/>
      <c r="F107" s="39"/>
      <c r="G107" s="81"/>
      <c r="H107" s="39" t="s">
        <v>169</v>
      </c>
      <c r="I107" s="37"/>
      <c r="J107" s="37"/>
      <c r="K107" s="37"/>
      <c r="L107" s="37"/>
      <c r="M107" s="48"/>
      <c r="N107" s="37"/>
      <c r="O107" s="37"/>
      <c r="P107" s="37"/>
      <c r="Q107" s="37"/>
      <c r="R107" s="38"/>
      <c r="S107" s="39"/>
      <c r="T107" s="37"/>
      <c r="U107" s="27"/>
    </row>
    <row r="108" spans="1:21" x14ac:dyDescent="0.3">
      <c r="A108" s="38" t="s">
        <v>97</v>
      </c>
      <c r="B108" s="38" t="s">
        <v>155</v>
      </c>
      <c r="C108" s="38"/>
      <c r="D108" s="38"/>
      <c r="E108" s="38"/>
      <c r="F108" s="39"/>
      <c r="G108" s="81"/>
      <c r="H108" s="39" t="s">
        <v>169</v>
      </c>
      <c r="I108" s="37"/>
      <c r="J108" s="37"/>
      <c r="K108" s="37"/>
      <c r="L108" s="37"/>
      <c r="M108" s="48"/>
      <c r="N108" s="37"/>
      <c r="O108" s="37"/>
      <c r="P108" s="37"/>
      <c r="Q108" s="37"/>
      <c r="R108" s="38"/>
      <c r="S108" s="39"/>
      <c r="T108" s="37"/>
      <c r="U108" s="27"/>
    </row>
    <row r="109" spans="1:21" x14ac:dyDescent="0.3">
      <c r="A109" s="38" t="s">
        <v>97</v>
      </c>
      <c r="B109" s="38" t="s">
        <v>170</v>
      </c>
      <c r="C109" s="38"/>
      <c r="D109" s="38"/>
      <c r="E109" s="38"/>
      <c r="F109" s="39"/>
      <c r="G109" s="81"/>
      <c r="H109" s="39" t="s">
        <v>169</v>
      </c>
      <c r="I109" s="37"/>
      <c r="J109" s="37"/>
      <c r="K109" s="37"/>
      <c r="L109" s="37"/>
      <c r="M109" s="48"/>
      <c r="N109" s="37"/>
      <c r="O109" s="37"/>
      <c r="P109" s="37"/>
      <c r="Q109" s="37"/>
      <c r="R109" s="38"/>
      <c r="S109" s="39"/>
      <c r="T109" s="37"/>
      <c r="U109" s="27"/>
    </row>
    <row r="110" spans="1:21" x14ac:dyDescent="0.3">
      <c r="A110" s="38" t="s">
        <v>91</v>
      </c>
      <c r="B110" s="38" t="s">
        <v>92</v>
      </c>
      <c r="C110" s="38"/>
      <c r="D110" s="38"/>
      <c r="E110" s="38"/>
      <c r="F110" s="39"/>
      <c r="G110" s="81"/>
      <c r="H110" s="39" t="s">
        <v>169</v>
      </c>
      <c r="I110" s="37"/>
      <c r="J110" s="37"/>
      <c r="K110" s="37"/>
      <c r="L110" s="37"/>
      <c r="M110" s="48"/>
      <c r="N110" s="37"/>
      <c r="O110" s="37"/>
      <c r="P110" s="37"/>
      <c r="Q110" s="37"/>
      <c r="R110" s="38"/>
      <c r="S110" s="39"/>
      <c r="T110" s="37"/>
      <c r="U110" s="27"/>
    </row>
    <row r="111" spans="1:21" x14ac:dyDescent="0.3">
      <c r="A111" s="38" t="s">
        <v>104</v>
      </c>
      <c r="B111" s="38" t="s">
        <v>105</v>
      </c>
      <c r="C111" s="38"/>
      <c r="D111" s="38"/>
      <c r="E111" s="38"/>
      <c r="F111" s="39"/>
      <c r="G111" s="81"/>
      <c r="H111" s="39" t="s">
        <v>169</v>
      </c>
      <c r="I111" s="37"/>
      <c r="J111" s="37"/>
      <c r="K111" s="37"/>
      <c r="L111" s="37"/>
      <c r="M111" s="48"/>
      <c r="N111" s="37"/>
      <c r="O111" s="37"/>
      <c r="P111" s="37"/>
      <c r="Q111" s="37"/>
      <c r="R111" s="38"/>
      <c r="S111" s="39"/>
      <c r="T111" s="37"/>
      <c r="U111" s="27"/>
    </row>
    <row r="112" spans="1:21" x14ac:dyDescent="0.3">
      <c r="A112" s="38" t="s">
        <v>97</v>
      </c>
      <c r="B112" s="38" t="s">
        <v>107</v>
      </c>
      <c r="C112" s="38"/>
      <c r="D112" s="38"/>
      <c r="E112" s="38"/>
      <c r="F112" s="39"/>
      <c r="G112" s="81"/>
      <c r="H112" s="39" t="s">
        <v>172</v>
      </c>
      <c r="I112" s="37"/>
      <c r="J112" s="37"/>
      <c r="K112" s="37"/>
      <c r="L112" s="37"/>
      <c r="M112" s="48"/>
      <c r="N112" s="48"/>
      <c r="O112" s="80"/>
      <c r="P112" s="51"/>
      <c r="Q112" s="51"/>
      <c r="R112" s="38"/>
      <c r="S112" s="39"/>
      <c r="T112" s="52"/>
      <c r="U112" s="27"/>
    </row>
    <row r="113" spans="1:21" x14ac:dyDescent="0.3">
      <c r="A113" s="38" t="s">
        <v>97</v>
      </c>
      <c r="B113" s="38" t="s">
        <v>110</v>
      </c>
      <c r="C113" s="38"/>
      <c r="D113" s="38"/>
      <c r="E113" s="38"/>
      <c r="F113" s="39"/>
      <c r="G113" s="81"/>
      <c r="H113" s="39" t="s">
        <v>172</v>
      </c>
      <c r="I113" s="37"/>
      <c r="J113" s="37"/>
      <c r="K113" s="37"/>
      <c r="L113" s="37"/>
      <c r="M113" s="48"/>
      <c r="N113" s="37"/>
      <c r="O113" s="37"/>
      <c r="P113" s="37"/>
      <c r="Q113" s="37"/>
      <c r="R113" s="38"/>
      <c r="S113" s="39"/>
      <c r="T113" s="37"/>
      <c r="U113" s="27"/>
    </row>
    <row r="114" spans="1:21" s="27" customFormat="1" ht="82.5" x14ac:dyDescent="0.3">
      <c r="A114" s="92" t="s">
        <v>68</v>
      </c>
      <c r="B114" s="95"/>
      <c r="C114" s="95"/>
      <c r="D114" s="95"/>
      <c r="E114" s="95"/>
      <c r="F114" s="95"/>
      <c r="G114" s="95"/>
      <c r="H114" s="96"/>
      <c r="I114" s="17" t="s">
        <v>69</v>
      </c>
      <c r="J114" s="17"/>
      <c r="K114" s="43" t="s">
        <v>68</v>
      </c>
      <c r="L114" s="18" t="s">
        <v>571</v>
      </c>
      <c r="M114" s="20" t="s">
        <v>477</v>
      </c>
      <c r="N114" s="20" t="s">
        <v>572</v>
      </c>
      <c r="O114" s="21">
        <v>627</v>
      </c>
      <c r="P114" s="22" t="s">
        <v>479</v>
      </c>
      <c r="Q114" s="23" t="s">
        <v>573</v>
      </c>
      <c r="R114" s="24" t="s">
        <v>574</v>
      </c>
      <c r="S114" s="25">
        <v>25</v>
      </c>
      <c r="T114" s="26">
        <v>45291</v>
      </c>
    </row>
    <row r="115" spans="1:21" s="27" customFormat="1" x14ac:dyDescent="0.3">
      <c r="A115" s="30" t="s">
        <v>158</v>
      </c>
      <c r="B115" s="30" t="s">
        <v>211</v>
      </c>
      <c r="C115" s="30"/>
      <c r="D115" s="30"/>
      <c r="E115" s="30"/>
      <c r="F115" s="84"/>
      <c r="G115" s="84" t="s">
        <v>133</v>
      </c>
      <c r="H115" s="84"/>
      <c r="I115" s="29"/>
      <c r="J115" s="29"/>
      <c r="K115" s="29"/>
      <c r="L115" s="29"/>
      <c r="M115" s="29"/>
      <c r="N115" s="29"/>
      <c r="O115" s="29"/>
      <c r="P115" s="29"/>
      <c r="Q115" s="29"/>
      <c r="R115" s="30"/>
      <c r="S115" s="31"/>
      <c r="T115" s="29"/>
    </row>
    <row r="116" spans="1:21" s="27" customFormat="1" x14ac:dyDescent="0.3">
      <c r="A116" s="40" t="s">
        <v>80</v>
      </c>
      <c r="B116" s="40" t="s">
        <v>81</v>
      </c>
      <c r="C116" s="40"/>
      <c r="D116" s="40"/>
      <c r="E116" s="40"/>
      <c r="F116" s="79"/>
      <c r="G116" s="79" t="s">
        <v>186</v>
      </c>
      <c r="H116" s="79"/>
      <c r="I116" s="78"/>
      <c r="J116" s="78"/>
      <c r="K116" s="78"/>
      <c r="L116" s="78"/>
      <c r="M116" s="78"/>
      <c r="N116" s="78"/>
      <c r="O116" s="78"/>
      <c r="P116" s="78"/>
      <c r="Q116" s="78"/>
      <c r="R116" s="38"/>
      <c r="S116" s="39"/>
      <c r="T116" s="37"/>
    </row>
    <row r="117" spans="1:21" s="27" customFormat="1" ht="33" x14ac:dyDescent="0.3">
      <c r="A117" s="38" t="s">
        <v>178</v>
      </c>
      <c r="B117" s="38" t="s">
        <v>215</v>
      </c>
      <c r="C117" s="38"/>
      <c r="D117" s="38"/>
      <c r="E117" s="38" t="s">
        <v>575</v>
      </c>
      <c r="F117" s="132" t="s">
        <v>576</v>
      </c>
      <c r="G117" s="133" t="s">
        <v>577</v>
      </c>
      <c r="H117" s="133"/>
      <c r="I117" s="37"/>
      <c r="J117" s="37"/>
      <c r="K117" s="37"/>
      <c r="L117" s="37"/>
      <c r="M117" s="37"/>
      <c r="N117" s="37"/>
      <c r="O117" s="37"/>
      <c r="P117" s="37"/>
      <c r="Q117" s="37"/>
      <c r="R117" s="38"/>
      <c r="S117" s="39"/>
      <c r="T117" s="52"/>
    </row>
    <row r="118" spans="1:21" s="27" customFormat="1" ht="45.75" customHeight="1" x14ac:dyDescent="0.3">
      <c r="A118" s="38" t="s">
        <v>85</v>
      </c>
      <c r="B118" s="38" t="s">
        <v>217</v>
      </c>
      <c r="C118" s="83" t="s">
        <v>578</v>
      </c>
      <c r="D118" s="38" t="s">
        <v>579</v>
      </c>
      <c r="E118" s="38"/>
      <c r="F118" s="133" t="s">
        <v>580</v>
      </c>
      <c r="H118" s="133" t="s">
        <v>581</v>
      </c>
      <c r="I118" s="37"/>
      <c r="J118" s="37"/>
      <c r="K118" s="37"/>
      <c r="L118" s="37"/>
      <c r="M118" s="37"/>
      <c r="N118" s="37"/>
      <c r="O118" s="37"/>
      <c r="P118" s="37"/>
      <c r="Q118" s="37"/>
      <c r="R118" s="38"/>
      <c r="S118" s="39"/>
      <c r="T118" s="37"/>
    </row>
    <row r="119" spans="1:21" s="27" customFormat="1" ht="33" x14ac:dyDescent="0.3">
      <c r="A119" s="38" t="s">
        <v>97</v>
      </c>
      <c r="B119" s="38" t="s">
        <v>117</v>
      </c>
      <c r="C119" s="38"/>
      <c r="D119" s="38"/>
      <c r="E119" s="38"/>
      <c r="F119" s="133" t="s">
        <v>220</v>
      </c>
      <c r="G119" s="37"/>
      <c r="H119" s="133" t="s">
        <v>582</v>
      </c>
      <c r="I119" s="37"/>
      <c r="J119" s="37"/>
      <c r="K119" s="37"/>
      <c r="L119" s="37"/>
      <c r="M119" s="37"/>
      <c r="N119" s="37"/>
      <c r="O119" s="37"/>
      <c r="P119" s="37"/>
      <c r="Q119" s="37"/>
      <c r="R119" s="38"/>
      <c r="S119" s="39"/>
      <c r="T119" s="52"/>
    </row>
    <row r="120" spans="1:21" s="27" customFormat="1" ht="33" x14ac:dyDescent="0.3">
      <c r="A120" s="38" t="s">
        <v>97</v>
      </c>
      <c r="B120" s="38" t="s">
        <v>118</v>
      </c>
      <c r="C120" s="38"/>
      <c r="D120" s="38"/>
      <c r="E120" s="38" t="s">
        <v>583</v>
      </c>
      <c r="F120" s="133" t="s">
        <v>220</v>
      </c>
      <c r="G120" s="37"/>
      <c r="H120" s="133" t="s">
        <v>582</v>
      </c>
      <c r="I120" s="37"/>
      <c r="J120" s="37"/>
      <c r="K120" s="37"/>
      <c r="L120" s="37"/>
      <c r="M120" s="37"/>
      <c r="N120" s="37"/>
      <c r="O120" s="37"/>
      <c r="P120" s="37"/>
      <c r="Q120" s="37"/>
      <c r="R120" s="38"/>
      <c r="S120" s="39"/>
      <c r="T120" s="52"/>
    </row>
    <row r="121" spans="1:21" s="27" customFormat="1" x14ac:dyDescent="0.3">
      <c r="A121" s="38" t="s">
        <v>97</v>
      </c>
      <c r="B121" s="38" t="s">
        <v>223</v>
      </c>
      <c r="C121" s="38"/>
      <c r="D121" s="38"/>
      <c r="E121" s="38"/>
      <c r="F121" s="133"/>
      <c r="G121" s="37"/>
      <c r="H121" s="133">
        <v>44245</v>
      </c>
      <c r="I121" s="37"/>
      <c r="J121" s="37"/>
      <c r="K121" s="37"/>
      <c r="L121" s="37"/>
      <c r="M121" s="37"/>
      <c r="N121" s="37"/>
      <c r="O121" s="37"/>
      <c r="P121" s="37"/>
      <c r="Q121" s="37"/>
      <c r="R121" s="38"/>
      <c r="S121" s="39"/>
      <c r="T121" s="52"/>
    </row>
    <row r="122" spans="1:21" s="27" customFormat="1" x14ac:dyDescent="0.3">
      <c r="A122" s="38" t="s">
        <v>97</v>
      </c>
      <c r="B122" s="38" t="s">
        <v>224</v>
      </c>
      <c r="C122" s="38"/>
      <c r="D122" s="38"/>
      <c r="E122" s="38"/>
      <c r="F122" s="133" t="s">
        <v>225</v>
      </c>
      <c r="G122" s="37"/>
      <c r="H122" s="133" t="s">
        <v>494</v>
      </c>
      <c r="I122" s="37"/>
      <c r="J122" s="37"/>
      <c r="K122" s="37"/>
      <c r="L122" s="37"/>
      <c r="M122" s="48"/>
      <c r="N122" s="48"/>
      <c r="O122" s="80"/>
      <c r="P122" s="51"/>
      <c r="Q122" s="51"/>
      <c r="R122" s="38"/>
      <c r="S122" s="39"/>
      <c r="T122" s="52"/>
    </row>
    <row r="123" spans="1:21" s="27" customFormat="1" x14ac:dyDescent="0.3">
      <c r="A123" s="38" t="s">
        <v>97</v>
      </c>
      <c r="B123" s="38" t="s">
        <v>260</v>
      </c>
      <c r="C123" s="38"/>
      <c r="D123" s="38"/>
      <c r="E123" s="38"/>
      <c r="F123" s="133" t="s">
        <v>225</v>
      </c>
      <c r="G123" s="37"/>
      <c r="H123" s="133" t="s">
        <v>494</v>
      </c>
      <c r="I123" s="37"/>
      <c r="J123" s="37"/>
      <c r="K123" s="37"/>
      <c r="L123" s="37"/>
      <c r="M123" s="37"/>
      <c r="N123" s="37"/>
      <c r="O123" s="37"/>
      <c r="P123" s="37"/>
      <c r="Q123" s="37"/>
      <c r="R123" s="38"/>
      <c r="S123" s="39"/>
      <c r="T123" s="52"/>
    </row>
    <row r="124" spans="1:21" s="27" customFormat="1" x14ac:dyDescent="0.3">
      <c r="A124" s="38" t="s">
        <v>91</v>
      </c>
      <c r="B124" s="38" t="s">
        <v>584</v>
      </c>
      <c r="C124" s="38"/>
      <c r="D124" s="38"/>
      <c r="E124" s="38"/>
      <c r="F124" s="133"/>
      <c r="G124" s="37"/>
      <c r="H124" s="133" t="s">
        <v>228</v>
      </c>
      <c r="I124" s="37"/>
      <c r="J124" s="37"/>
      <c r="K124" s="37"/>
      <c r="L124" s="37"/>
      <c r="M124" s="37"/>
      <c r="N124" s="37"/>
      <c r="O124" s="37"/>
      <c r="P124" s="37"/>
      <c r="Q124" s="37"/>
      <c r="R124" s="38"/>
      <c r="S124" s="39"/>
      <c r="T124" s="37"/>
    </row>
    <row r="125" spans="1:21" s="27" customFormat="1" x14ac:dyDescent="0.3">
      <c r="A125" s="38" t="s">
        <v>104</v>
      </c>
      <c r="B125" s="38" t="s">
        <v>105</v>
      </c>
      <c r="C125" s="38"/>
      <c r="D125" s="38"/>
      <c r="E125" s="38"/>
      <c r="F125" s="133"/>
      <c r="G125" s="37"/>
      <c r="H125" s="133" t="s">
        <v>228</v>
      </c>
      <c r="I125" s="37"/>
      <c r="J125" s="37"/>
      <c r="K125" s="37"/>
      <c r="L125" s="37"/>
      <c r="M125" s="37"/>
      <c r="N125" s="37"/>
      <c r="O125" s="37"/>
      <c r="P125" s="37"/>
      <c r="Q125" s="37"/>
      <c r="R125" s="38"/>
      <c r="S125" s="39"/>
      <c r="T125" s="37"/>
    </row>
    <row r="126" spans="1:21" ht="17.25" thickBot="1" x14ac:dyDescent="0.35"/>
    <row r="127" spans="1:21" ht="17.25" thickBot="1" x14ac:dyDescent="0.35">
      <c r="I127" s="87" t="s">
        <v>585</v>
      </c>
      <c r="J127" s="88"/>
      <c r="K127" s="88"/>
      <c r="L127" s="88"/>
      <c r="M127" s="88"/>
      <c r="N127" s="88"/>
      <c r="O127" s="88"/>
      <c r="P127" s="89"/>
    </row>
  </sheetData>
  <hyperlinks>
    <hyperlink ref="K2" r:id="rId1" xr:uid="{1668EB45-181A-42BE-A0E3-BD7411270663}"/>
    <hyperlink ref="K20" r:id="rId2" xr:uid="{6D68EFCC-4FBC-49AD-9866-134A105ECC7A}"/>
    <hyperlink ref="R114" r:id="rId3" display="https://dms.puc.hawaii.gov/dms/dockets?action=details&amp;docketNumber=2020-0140" xr:uid="{B3E8F529-9F13-4BCB-BAE4-6E8A62841413}"/>
    <hyperlink ref="K114" r:id="rId4" xr:uid="{11351618-2540-4F1C-91F4-8D52897A5645}"/>
    <hyperlink ref="R71" r:id="rId5" display="https://dms.puc.hawaii.gov/dms/dockets?action=details&amp;docketNumber=2020-0139" xr:uid="{EE5DD80A-29D4-4D44-8A51-5CDEE0F02F63}"/>
    <hyperlink ref="R2" r:id="rId6" display="https://dms.puc.hawaii.gov/dms/dockets?action=details&amp;docketNumber=2020-0138" xr:uid="{579C7C72-820F-47F9-B140-F2D32FF1E43A}"/>
    <hyperlink ref="R20" r:id="rId7" display="https://dms.puc.hawaii.gov/dms/dockets?action=details&amp;docketNumber=2019-0050" xr:uid="{0393B133-61ED-404C-901C-F4FC13761BAE}"/>
    <hyperlink ref="R80" r:id="rId8" display="https://dms.puc.hawaii.gov/dms/dockets?action=details&amp;docketNumber=2018-0431" xr:uid="{3D985D98-A1AF-45CF-843A-61AA9F864A7D}"/>
    <hyperlink ref="R101" r:id="rId9" display="https://dms.puc.hawaii.gov/dms/dockets?action=details&amp;docketNumber=2020-0137" xr:uid="{68C52303-83D2-455F-8757-415756EB1B1F}"/>
    <hyperlink ref="K101" r:id="rId10" xr:uid="{51CA42D3-5A83-497D-B643-8FDCD1045AE5}"/>
    <hyperlink ref="K71" r:id="rId11" xr:uid="{EC456C49-C876-4B12-AF49-4C5ECB7D4C46}"/>
    <hyperlink ref="R34" r:id="rId12" display="https://dms.puc.hawaii.gov/dms/dockets?action=details&amp;docketNumber=2018-0434" xr:uid="{62B9A661-285A-4A23-B879-0C8A513A3F11}"/>
    <hyperlink ref="R54" r:id="rId13" display="https://dms.puc.hawaii.gov/dms/dockets?action=details&amp;docketNumber=2018-0435" xr:uid="{D7FF67F0-BC85-4166-A035-C5F6109ACAD2}"/>
  </hyperlinks>
  <pageMargins left="0.7" right="0.7" top="0.75" bottom="0.75" header="0.3" footer="0.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E872B-ACE3-4407-8E78-5B02D608B63D}">
  <dimension ref="A1:K39"/>
  <sheetViews>
    <sheetView topLeftCell="A2" zoomScale="85" zoomScaleNormal="85" workbookViewId="0">
      <selection activeCell="B38" sqref="B38"/>
    </sheetView>
  </sheetViews>
  <sheetFormatPr defaultColWidth="8.625" defaultRowHeight="16.5" x14ac:dyDescent="0.3"/>
  <cols>
    <col min="1" max="2" width="13.375" customWidth="1"/>
    <col min="3" max="3" width="17.25" customWidth="1"/>
    <col min="4" max="4" width="12.5" customWidth="1"/>
    <col min="5" max="5" width="17.875" customWidth="1"/>
    <col min="6" max="9" width="13.375" customWidth="1"/>
    <col min="10" max="10" width="11.25" customWidth="1"/>
    <col min="11" max="11" width="14.125" customWidth="1"/>
  </cols>
  <sheetData>
    <row r="1" spans="1:11" ht="29.45" customHeight="1" x14ac:dyDescent="0.3">
      <c r="A1" s="283" t="s">
        <v>588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49.5" x14ac:dyDescent="0.3">
      <c r="A2" s="276" t="s">
        <v>589</v>
      </c>
      <c r="B2" s="277" t="s">
        <v>590</v>
      </c>
      <c r="C2" s="277" t="s">
        <v>591</v>
      </c>
      <c r="D2" s="277" t="s">
        <v>592</v>
      </c>
      <c r="E2" s="277" t="s">
        <v>593</v>
      </c>
      <c r="F2" s="277" t="s">
        <v>594</v>
      </c>
      <c r="G2" s="277" t="s">
        <v>595</v>
      </c>
      <c r="H2" s="277" t="s">
        <v>596</v>
      </c>
      <c r="I2" s="277" t="s">
        <v>597</v>
      </c>
      <c r="J2" s="277" t="s">
        <v>598</v>
      </c>
      <c r="K2" s="277" t="s">
        <v>599</v>
      </c>
    </row>
    <row r="3" spans="1:11" x14ac:dyDescent="0.3">
      <c r="A3" s="278">
        <v>44378</v>
      </c>
      <c r="B3">
        <f>'Battery Bonus O''ahu'!B4+'Battery Bonus Maui'!B4</f>
        <v>0</v>
      </c>
      <c r="C3">
        <f>'Battery Bonus O''ahu'!C4+'Battery Bonus Maui'!C4</f>
        <v>0</v>
      </c>
      <c r="D3">
        <f>'Battery Bonus O''ahu'!D4+'Battery Bonus Maui'!D4</f>
        <v>0</v>
      </c>
      <c r="E3">
        <f t="shared" ref="E3:E26" si="0">C3+D3</f>
        <v>0</v>
      </c>
      <c r="F3" s="279">
        <f>'Battery Bonus O''ahu'!G4+'Battery Bonus Maui'!G4</f>
        <v>0</v>
      </c>
      <c r="G3">
        <f>'Battery Bonus O''ahu'!H4+'Battery Bonus Maui'!H4</f>
        <v>0</v>
      </c>
      <c r="H3">
        <v>0</v>
      </c>
      <c r="I3">
        <f>'Battery Bonus O''ahu'!K4+'Battery Bonus Maui'!K4</f>
        <v>2</v>
      </c>
      <c r="J3">
        <f t="shared" ref="J3:J26" si="1">B3+G3</f>
        <v>0</v>
      </c>
      <c r="K3">
        <f t="shared" ref="K3:K26" si="2">E3+H3</f>
        <v>0</v>
      </c>
    </row>
    <row r="4" spans="1:11" x14ac:dyDescent="0.3">
      <c r="A4" s="278">
        <v>44409</v>
      </c>
      <c r="B4">
        <f>'Battery Bonus O''ahu'!B5+'Battery Bonus Maui'!B5</f>
        <v>0</v>
      </c>
      <c r="C4">
        <f>'Battery Bonus O''ahu'!C5+'Battery Bonus Maui'!C5</f>
        <v>0</v>
      </c>
      <c r="D4">
        <f>'Battery Bonus O''ahu'!D5+'Battery Bonus Maui'!D5</f>
        <v>0</v>
      </c>
      <c r="E4">
        <f t="shared" si="0"/>
        <v>0</v>
      </c>
      <c r="F4" s="279">
        <f>'Battery Bonus O''ahu'!F5+'Battery Bonus Maui'!F5</f>
        <v>0</v>
      </c>
      <c r="G4">
        <f>'Battery Bonus O''ahu'!G5+'Battery Bonus Maui'!G5</f>
        <v>31</v>
      </c>
      <c r="H4">
        <f>'Battery Bonus O''ahu'!H5+'Battery Bonus Maui'!H5</f>
        <v>0.16</v>
      </c>
      <c r="I4">
        <f>'Battery Bonus O''ahu'!K5+'Battery Bonus Maui'!K5</f>
        <v>25</v>
      </c>
      <c r="J4">
        <f t="shared" si="1"/>
        <v>31</v>
      </c>
      <c r="K4">
        <f t="shared" si="2"/>
        <v>0.16</v>
      </c>
    </row>
    <row r="5" spans="1:11" x14ac:dyDescent="0.3">
      <c r="A5" s="278">
        <v>44440</v>
      </c>
      <c r="B5">
        <f>'Battery Bonus O''ahu'!B6+'Battery Bonus Maui'!B6</f>
        <v>0</v>
      </c>
      <c r="C5">
        <f>'Battery Bonus O''ahu'!C6+'Battery Bonus Maui'!C6</f>
        <v>0</v>
      </c>
      <c r="D5">
        <f>'Battery Bonus O''ahu'!D6+'Battery Bonus Maui'!D6</f>
        <v>0</v>
      </c>
      <c r="E5">
        <f t="shared" si="0"/>
        <v>0</v>
      </c>
      <c r="F5" s="279">
        <f>'Battery Bonus O''ahu'!F6+'Battery Bonus Maui'!F6</f>
        <v>0</v>
      </c>
      <c r="G5">
        <f>'Battery Bonus O''ahu'!G6+'Battery Bonus Maui'!G6</f>
        <v>149</v>
      </c>
      <c r="H5">
        <f>'Battery Bonus O''ahu'!H6+'Battery Bonus Maui'!H6</f>
        <v>0.77</v>
      </c>
      <c r="I5">
        <f>'Battery Bonus O''ahu'!K6+'Battery Bonus Maui'!K6</f>
        <v>24</v>
      </c>
      <c r="J5">
        <f t="shared" si="1"/>
        <v>149</v>
      </c>
      <c r="K5">
        <f t="shared" si="2"/>
        <v>0.77</v>
      </c>
    </row>
    <row r="6" spans="1:11" x14ac:dyDescent="0.3">
      <c r="A6" s="278">
        <v>44470</v>
      </c>
      <c r="B6">
        <f>'Battery Bonus O''ahu'!B7+'Battery Bonus Maui'!B7</f>
        <v>0</v>
      </c>
      <c r="C6">
        <f>'Battery Bonus O''ahu'!C7+'Battery Bonus Maui'!C7</f>
        <v>0</v>
      </c>
      <c r="D6">
        <f>'Battery Bonus O''ahu'!D7+'Battery Bonus Maui'!D7</f>
        <v>0</v>
      </c>
      <c r="E6">
        <f t="shared" si="0"/>
        <v>0</v>
      </c>
      <c r="F6" s="279">
        <f>'Battery Bonus O''ahu'!F7+'Battery Bonus Maui'!F7</f>
        <v>0</v>
      </c>
      <c r="G6">
        <f>'Battery Bonus O''ahu'!G7+'Battery Bonus Maui'!G7</f>
        <v>280</v>
      </c>
      <c r="H6">
        <f>'Battery Bonus O''ahu'!H7+'Battery Bonus Maui'!H7</f>
        <v>1.5</v>
      </c>
      <c r="I6">
        <f>'Battery Bonus O''ahu'!K7+'Battery Bonus Maui'!K7</f>
        <v>35</v>
      </c>
      <c r="J6">
        <f t="shared" si="1"/>
        <v>280</v>
      </c>
      <c r="K6">
        <f t="shared" si="2"/>
        <v>1.5</v>
      </c>
    </row>
    <row r="7" spans="1:11" x14ac:dyDescent="0.3">
      <c r="A7" s="278">
        <v>44501</v>
      </c>
      <c r="B7">
        <f>'Battery Bonus O''ahu'!B8+'Battery Bonus Maui'!B8</f>
        <v>0</v>
      </c>
      <c r="C7">
        <f>'Battery Bonus O''ahu'!C8+'Battery Bonus Maui'!C8</f>
        <v>0</v>
      </c>
      <c r="D7">
        <f>'Battery Bonus O''ahu'!D8+'Battery Bonus Maui'!D8</f>
        <v>0</v>
      </c>
      <c r="E7">
        <f t="shared" si="0"/>
        <v>0</v>
      </c>
      <c r="F7" s="279">
        <f>'Battery Bonus O''ahu'!F8+'Battery Bonus Maui'!F8</f>
        <v>0</v>
      </c>
      <c r="G7">
        <f>'Battery Bonus O''ahu'!G8+'Battery Bonus Maui'!G8</f>
        <v>462</v>
      </c>
      <c r="H7">
        <f>'Battery Bonus O''ahu'!H8+'Battery Bonus Maui'!H8</f>
        <v>2.71</v>
      </c>
      <c r="I7">
        <f>'Battery Bonus O''ahu'!K8+'Battery Bonus Maui'!K8</f>
        <v>27</v>
      </c>
      <c r="J7">
        <f t="shared" si="1"/>
        <v>462</v>
      </c>
      <c r="K7">
        <f t="shared" si="2"/>
        <v>2.71</v>
      </c>
    </row>
    <row r="8" spans="1:11" x14ac:dyDescent="0.3">
      <c r="A8" s="278">
        <v>44531</v>
      </c>
      <c r="B8">
        <f>'Battery Bonus O''ahu'!B9+'Battery Bonus Maui'!B9</f>
        <v>28</v>
      </c>
      <c r="C8">
        <f>'Battery Bonus O''ahu'!C9+'Battery Bonus Maui'!C9</f>
        <v>0.14000000000000001</v>
      </c>
      <c r="D8">
        <f>'Battery Bonus O''ahu'!D9+'Battery Bonus Maui'!D9</f>
        <v>6.9000000000000006E-2</v>
      </c>
      <c r="E8">
        <f t="shared" si="0"/>
        <v>0.20900000000000002</v>
      </c>
      <c r="F8" s="279">
        <f>'Battery Bonus O''ahu'!F9+'Battery Bonus Maui'!F9</f>
        <v>118150</v>
      </c>
      <c r="G8">
        <f>'Battery Bonus O''ahu'!G9+'Battery Bonus Maui'!G9</f>
        <v>566</v>
      </c>
      <c r="H8">
        <f>'Battery Bonus O''ahu'!H9+'Battery Bonus Maui'!H9</f>
        <v>3.33</v>
      </c>
      <c r="I8">
        <f>'Battery Bonus O''ahu'!K9+'Battery Bonus Maui'!K9</f>
        <v>41</v>
      </c>
      <c r="J8">
        <f t="shared" si="1"/>
        <v>594</v>
      </c>
      <c r="K8">
        <f t="shared" si="2"/>
        <v>3.5390000000000001</v>
      </c>
    </row>
    <row r="9" spans="1:11" x14ac:dyDescent="0.3">
      <c r="A9" s="278">
        <v>44562</v>
      </c>
      <c r="B9">
        <f>'Battery Bonus O''ahu'!B10+'Battery Bonus Maui'!B10</f>
        <v>62</v>
      </c>
      <c r="C9">
        <f>'Battery Bonus O''ahu'!C10+'Battery Bonus Maui'!C10</f>
        <v>0.308</v>
      </c>
      <c r="D9">
        <f>'Battery Bonus O''ahu'!D10+'Battery Bonus Maui'!D10</f>
        <v>0.17299999999999999</v>
      </c>
      <c r="E9">
        <f t="shared" si="0"/>
        <v>0.48099999999999998</v>
      </c>
      <c r="F9" s="279">
        <f>'Battery Bonus O''ahu'!F10+'Battery Bonus Maui'!F10</f>
        <v>261800</v>
      </c>
      <c r="G9">
        <f>'Battery Bonus O''ahu'!G10+'Battery Bonus Maui'!G10</f>
        <v>664</v>
      </c>
      <c r="H9">
        <f>'Battery Bonus O''ahu'!H10+'Battery Bonus Maui'!H10</f>
        <v>3.9489999999999998</v>
      </c>
      <c r="I9">
        <f>'Battery Bonus O''ahu'!K10+'Battery Bonus Maui'!K10</f>
        <v>39</v>
      </c>
      <c r="J9">
        <f t="shared" si="1"/>
        <v>726</v>
      </c>
      <c r="K9">
        <f t="shared" si="2"/>
        <v>4.43</v>
      </c>
    </row>
    <row r="10" spans="1:11" x14ac:dyDescent="0.3">
      <c r="A10" s="278">
        <v>44593</v>
      </c>
      <c r="B10">
        <f>'Battery Bonus O''ahu'!B11+'Battery Bonus Maui'!B11</f>
        <v>114</v>
      </c>
      <c r="C10">
        <f>'Battery Bonus O''ahu'!C11+'Battery Bonus Maui'!C11</f>
        <v>0.59099999999999997</v>
      </c>
      <c r="D10">
        <f>'Battery Bonus O''ahu'!D11+'Battery Bonus Maui'!D11</f>
        <v>0.60199999999999998</v>
      </c>
      <c r="E10">
        <f t="shared" si="0"/>
        <v>1.1930000000000001</v>
      </c>
      <c r="F10" s="279">
        <f>'Battery Bonus O''ahu'!F11+'Battery Bonus Maui'!F11</f>
        <v>502554</v>
      </c>
      <c r="G10">
        <f>'Battery Bonus O''ahu'!G11+'Battery Bonus Maui'!G11</f>
        <v>653</v>
      </c>
      <c r="H10">
        <f>'Battery Bonus O''ahu'!H11+'Battery Bonus Maui'!H11</f>
        <v>3.9179999999999997</v>
      </c>
      <c r="I10">
        <f>'Battery Bonus O''ahu'!K11+'Battery Bonus Maui'!K11</f>
        <v>63</v>
      </c>
      <c r="J10">
        <f t="shared" si="1"/>
        <v>767</v>
      </c>
      <c r="K10">
        <f t="shared" si="2"/>
        <v>5.1109999999999998</v>
      </c>
    </row>
    <row r="11" spans="1:11" x14ac:dyDescent="0.3">
      <c r="A11" s="278">
        <v>44621</v>
      </c>
      <c r="B11">
        <f>'Battery Bonus O''ahu'!B12+'Battery Bonus Maui'!B12</f>
        <v>178</v>
      </c>
      <c r="C11">
        <f>'Battery Bonus O''ahu'!C12+'Battery Bonus Maui'!C12</f>
        <v>0.89</v>
      </c>
      <c r="D11">
        <f>'Battery Bonus O''ahu'!D12+'Battery Bonus Maui'!D12</f>
        <v>0.8</v>
      </c>
      <c r="E11">
        <f t="shared" si="0"/>
        <v>1.69</v>
      </c>
      <c r="F11" s="279">
        <f>'Battery Bonus O''ahu'!F12+'Battery Bonus Maui'!F12</f>
        <v>756815</v>
      </c>
      <c r="G11">
        <f>'Battery Bonus O''ahu'!G12+'Battery Bonus Maui'!G12</f>
        <v>709</v>
      </c>
      <c r="H11">
        <f>'Battery Bonus O''ahu'!H12+'Battery Bonus Maui'!H12</f>
        <v>4.2300000000000004</v>
      </c>
      <c r="I11">
        <f>'Battery Bonus O''ahu'!K12+'Battery Bonus Maui'!K12</f>
        <v>57</v>
      </c>
      <c r="J11">
        <f t="shared" si="1"/>
        <v>887</v>
      </c>
      <c r="K11">
        <f t="shared" si="2"/>
        <v>5.92</v>
      </c>
    </row>
    <row r="12" spans="1:11" x14ac:dyDescent="0.3">
      <c r="A12" s="278">
        <v>44652</v>
      </c>
      <c r="B12">
        <f>'Battery Bonus O''ahu'!B13+'Battery Bonus Maui'!B13</f>
        <v>235</v>
      </c>
      <c r="C12">
        <f>'Battery Bonus O''ahu'!C13+'Battery Bonus Maui'!C13</f>
        <v>1.19</v>
      </c>
      <c r="D12">
        <f>'Battery Bonus O''ahu'!D13+'Battery Bonus Maui'!D13</f>
        <v>0.99</v>
      </c>
      <c r="E12">
        <f t="shared" si="0"/>
        <v>2.1799999999999997</v>
      </c>
      <c r="F12" s="279">
        <f>'Battery Bonus O''ahu'!F13+'Battery Bonus Maui'!F13</f>
        <v>1014263</v>
      </c>
      <c r="G12">
        <f>'Battery Bonus O''ahu'!G13+'Battery Bonus Maui'!G13</f>
        <v>758</v>
      </c>
      <c r="H12">
        <f>'Battery Bonus O''ahu'!H13+'Battery Bonus Maui'!H13</f>
        <v>4.54</v>
      </c>
      <c r="I12">
        <f>'Battery Bonus O''ahu'!K13+'Battery Bonus Maui'!K13</f>
        <v>70</v>
      </c>
      <c r="J12">
        <f t="shared" si="1"/>
        <v>993</v>
      </c>
      <c r="K12">
        <f t="shared" si="2"/>
        <v>6.72</v>
      </c>
    </row>
    <row r="13" spans="1:11" x14ac:dyDescent="0.3">
      <c r="A13" s="278">
        <v>44682</v>
      </c>
      <c r="B13">
        <f>'Battery Bonus O''ahu'!B14+'Battery Bonus Maui'!B14</f>
        <v>303</v>
      </c>
      <c r="C13">
        <f>'Battery Bonus O''ahu'!C14+'Battery Bonus Maui'!C14</f>
        <v>1.64</v>
      </c>
      <c r="D13">
        <f>'Battery Bonus O''ahu'!D14+'Battery Bonus Maui'!D14</f>
        <v>1.24</v>
      </c>
      <c r="E13">
        <f t="shared" si="0"/>
        <v>2.88</v>
      </c>
      <c r="F13" s="279">
        <f>'Battery Bonus O''ahu'!F14+'Battery Bonus Maui'!F14</f>
        <v>1395029</v>
      </c>
      <c r="G13">
        <f>'Battery Bonus O''ahu'!G14+'Battery Bonus Maui'!G14</f>
        <v>863</v>
      </c>
      <c r="H13">
        <f>'Battery Bonus O''ahu'!H14+'Battery Bonus Maui'!H14</f>
        <v>5.14</v>
      </c>
      <c r="I13">
        <f>'Battery Bonus O''ahu'!K14+'Battery Bonus Maui'!K14</f>
        <v>48</v>
      </c>
      <c r="J13">
        <f t="shared" si="1"/>
        <v>1166</v>
      </c>
      <c r="K13">
        <f t="shared" si="2"/>
        <v>8.02</v>
      </c>
    </row>
    <row r="14" spans="1:11" x14ac:dyDescent="0.3">
      <c r="A14" s="278">
        <v>44713</v>
      </c>
      <c r="B14">
        <f>'Battery Bonus O''ahu'!B15+'Battery Bonus Maui'!B15</f>
        <v>390</v>
      </c>
      <c r="C14">
        <f>'Battery Bonus O''ahu'!C15+'Battery Bonus Maui'!C15</f>
        <v>2.19</v>
      </c>
      <c r="D14">
        <f>'Battery Bonus O''ahu'!D15+'Battery Bonus Maui'!D15</f>
        <v>1.52</v>
      </c>
      <c r="E14">
        <f t="shared" si="0"/>
        <v>3.71</v>
      </c>
      <c r="F14" s="279">
        <f>'Battery Bonus O''ahu'!F15+'Battery Bonus Maui'!F15</f>
        <v>1864535</v>
      </c>
      <c r="G14">
        <f>'Battery Bonus O''ahu'!G15+'Battery Bonus Maui'!G15</f>
        <v>885</v>
      </c>
      <c r="H14">
        <f>'Battery Bonus O''ahu'!H15+'Battery Bonus Maui'!H15</f>
        <v>5.31</v>
      </c>
      <c r="I14">
        <f>'Battery Bonus O''ahu'!K15+'Battery Bonus Maui'!K15</f>
        <v>33</v>
      </c>
      <c r="J14">
        <f t="shared" si="1"/>
        <v>1275</v>
      </c>
      <c r="K14">
        <f t="shared" si="2"/>
        <v>9.02</v>
      </c>
    </row>
    <row r="15" spans="1:11" x14ac:dyDescent="0.3">
      <c r="A15" s="278">
        <v>44743</v>
      </c>
      <c r="B15">
        <f>'Battery Bonus O''ahu'!B16+'Battery Bonus Maui'!B16</f>
        <v>464</v>
      </c>
      <c r="C15">
        <f>'Battery Bonus O''ahu'!C16+'Battery Bonus Maui'!C16</f>
        <v>2.69</v>
      </c>
      <c r="D15">
        <f>'Battery Bonus O''ahu'!D16+'Battery Bonus Maui'!D16</f>
        <v>1.76</v>
      </c>
      <c r="E15">
        <f t="shared" si="0"/>
        <v>4.45</v>
      </c>
      <c r="F15" s="279">
        <f>'Battery Bonus O''ahu'!F16+'Battery Bonus Maui'!F16</f>
        <v>2277550</v>
      </c>
      <c r="G15">
        <f>'Battery Bonus O''ahu'!G16+'Battery Bonus Maui'!G16</f>
        <v>956</v>
      </c>
      <c r="H15">
        <f>'Battery Bonus O''ahu'!H16+'Battery Bonus Maui'!H16</f>
        <v>5.7200000000000006</v>
      </c>
      <c r="I15">
        <f>'Battery Bonus O''ahu'!K16+'Battery Bonus Maui'!K16</f>
        <v>58</v>
      </c>
      <c r="J15">
        <f t="shared" si="1"/>
        <v>1420</v>
      </c>
      <c r="K15">
        <f t="shared" si="2"/>
        <v>10.170000000000002</v>
      </c>
    </row>
    <row r="16" spans="1:11" x14ac:dyDescent="0.3">
      <c r="A16" s="278">
        <v>44774</v>
      </c>
      <c r="B16">
        <f>'Battery Bonus O''ahu'!B17+'Battery Bonus Maui'!B17</f>
        <v>586</v>
      </c>
      <c r="C16">
        <f>'Battery Bonus O''ahu'!C17+'Battery Bonus Maui'!C17</f>
        <v>3.48</v>
      </c>
      <c r="D16">
        <f>'Battery Bonus O''ahu'!D17+'Battery Bonus Maui'!D17</f>
        <v>1.93</v>
      </c>
      <c r="E16">
        <f t="shared" si="0"/>
        <v>5.41</v>
      </c>
      <c r="F16" s="279">
        <f>'Battery Bonus O''ahu'!F17+'Battery Bonus Maui'!F17</f>
        <v>2960814</v>
      </c>
      <c r="G16">
        <f>'Battery Bonus O''ahu'!G17+'Battery Bonus Maui'!G17</f>
        <v>1098</v>
      </c>
      <c r="H16">
        <f>'Battery Bonus O''ahu'!H17+'Battery Bonus Maui'!H17</f>
        <v>6.64</v>
      </c>
      <c r="I16">
        <f>'Battery Bonus O''ahu'!K17+'Battery Bonus Maui'!K17</f>
        <v>62</v>
      </c>
      <c r="J16">
        <f t="shared" si="1"/>
        <v>1684</v>
      </c>
      <c r="K16">
        <f t="shared" si="2"/>
        <v>12.05</v>
      </c>
    </row>
    <row r="17" spans="1:11" x14ac:dyDescent="0.3">
      <c r="A17" s="278">
        <v>44805</v>
      </c>
      <c r="B17">
        <f>'Battery Bonus O''ahu'!B18+'Battery Bonus Maui'!B18</f>
        <v>651</v>
      </c>
      <c r="C17">
        <f>'Battery Bonus O''ahu'!C18+'Battery Bonus Maui'!C18</f>
        <v>3.89</v>
      </c>
      <c r="D17">
        <f>'Battery Bonus O''ahu'!D18+'Battery Bonus Maui'!D18</f>
        <v>2.15</v>
      </c>
      <c r="E17">
        <f t="shared" si="0"/>
        <v>6.04</v>
      </c>
      <c r="F17" s="279">
        <f>'Battery Bonus O''ahu'!F18+'Battery Bonus Maui'!F18</f>
        <v>3304214</v>
      </c>
      <c r="G17">
        <f>'Battery Bonus O''ahu'!G18+'Battery Bonus Maui'!G18</f>
        <v>1187</v>
      </c>
      <c r="H17">
        <f>'Battery Bonus O''ahu'!H18+'Battery Bonus Maui'!H18</f>
        <v>7.45</v>
      </c>
      <c r="I17">
        <f>'Battery Bonus O''ahu'!K18+'Battery Bonus Maui'!K18</f>
        <v>60</v>
      </c>
      <c r="J17">
        <f t="shared" si="1"/>
        <v>1838</v>
      </c>
      <c r="K17">
        <f t="shared" si="2"/>
        <v>13.49</v>
      </c>
    </row>
    <row r="18" spans="1:11" x14ac:dyDescent="0.3">
      <c r="A18" s="278">
        <v>44835</v>
      </c>
      <c r="B18">
        <f>'Battery Bonus O''ahu'!B19+'Battery Bonus Maui'!B19</f>
        <v>686</v>
      </c>
      <c r="C18">
        <f>'Battery Bonus O''ahu'!C19+'Battery Bonus Maui'!C19</f>
        <v>4.08</v>
      </c>
      <c r="D18">
        <f>'Battery Bonus O''ahu'!D19+'Battery Bonus Maui'!D19</f>
        <v>2.27</v>
      </c>
      <c r="E18">
        <f t="shared" si="0"/>
        <v>6.35</v>
      </c>
      <c r="F18" s="279">
        <f>'Battery Bonus O''ahu'!F19+'Battery Bonus Maui'!F19</f>
        <v>3468009</v>
      </c>
      <c r="G18">
        <f>'Battery Bonus O''ahu'!G19+'Battery Bonus Maui'!G19</f>
        <v>1361</v>
      </c>
      <c r="H18">
        <f>'Battery Bonus O''ahu'!H19+'Battery Bonus Maui'!H19</f>
        <v>7.1000000000000005</v>
      </c>
      <c r="I18">
        <f>'Battery Bonus O''ahu'!K19+'Battery Bonus Maui'!K19</f>
        <v>63</v>
      </c>
      <c r="J18">
        <f t="shared" si="1"/>
        <v>2047</v>
      </c>
      <c r="K18">
        <f t="shared" si="2"/>
        <v>13.45</v>
      </c>
    </row>
    <row r="19" spans="1:11" x14ac:dyDescent="0.3">
      <c r="A19" s="278">
        <v>44866</v>
      </c>
      <c r="B19">
        <f>'Battery Bonus O''ahu'!B20+'Battery Bonus Maui'!B20</f>
        <v>822</v>
      </c>
      <c r="C19">
        <f>'Battery Bonus O''ahu'!C20+'Battery Bonus Maui'!C20</f>
        <v>4.92</v>
      </c>
      <c r="D19">
        <f>'Battery Bonus O''ahu'!D20+'Battery Bonus Maui'!D20</f>
        <v>2.65</v>
      </c>
      <c r="E19">
        <f t="shared" si="0"/>
        <v>7.57</v>
      </c>
      <c r="F19" s="279">
        <f>'Battery Bonus O''ahu'!F20+'Battery Bonus Maui'!F20</f>
        <v>4185426</v>
      </c>
      <c r="G19">
        <f>'Battery Bonus O''ahu'!G20+'Battery Bonus Maui'!G20</f>
        <v>1526</v>
      </c>
      <c r="H19">
        <f>'Battery Bonus O''ahu'!H20+'Battery Bonus Maui'!H20</f>
        <v>9.81</v>
      </c>
      <c r="I19">
        <f>'Battery Bonus O''ahu'!K20+'Battery Bonus Maui'!K20</f>
        <v>51</v>
      </c>
      <c r="J19">
        <f t="shared" si="1"/>
        <v>2348</v>
      </c>
      <c r="K19">
        <f t="shared" si="2"/>
        <v>17.380000000000003</v>
      </c>
    </row>
    <row r="20" spans="1:11" x14ac:dyDescent="0.3">
      <c r="A20" s="278">
        <v>44896</v>
      </c>
      <c r="B20">
        <f>'Battery Bonus O''ahu'!B21+'Battery Bonus Maui'!B21</f>
        <v>942</v>
      </c>
      <c r="C20">
        <f>'Battery Bonus O''ahu'!C21+'Battery Bonus Maui'!C21</f>
        <v>5.79</v>
      </c>
      <c r="D20">
        <f>'Battery Bonus O''ahu'!D21+'Battery Bonus Maui'!D21</f>
        <v>3.3</v>
      </c>
      <c r="E20">
        <f t="shared" si="0"/>
        <v>9.09</v>
      </c>
      <c r="F20" s="279">
        <f>'Battery Bonus O''ahu'!F21+'Battery Bonus Maui'!F21</f>
        <v>4925374</v>
      </c>
      <c r="G20">
        <f>'Battery Bonus O''ahu'!G21+'Battery Bonus Maui'!G21</f>
        <v>1617</v>
      </c>
      <c r="H20">
        <f>'Battery Bonus O''ahu'!H21+'Battery Bonus Maui'!H21</f>
        <v>10.55</v>
      </c>
      <c r="I20">
        <f>'Battery Bonus O''ahu'!K21+'Battery Bonus Maui'!K21</f>
        <v>53</v>
      </c>
      <c r="J20">
        <f t="shared" si="1"/>
        <v>2559</v>
      </c>
      <c r="K20">
        <f t="shared" si="2"/>
        <v>19.64</v>
      </c>
    </row>
    <row r="21" spans="1:11" x14ac:dyDescent="0.3">
      <c r="A21" s="278">
        <v>44927</v>
      </c>
      <c r="B21">
        <f>'Battery Bonus O''ahu'!B22+'Battery Bonus Maui'!B22</f>
        <v>1040</v>
      </c>
      <c r="C21">
        <f>'Battery Bonus O''ahu'!C22+'Battery Bonus Maui'!C22</f>
        <v>6.3649999999999993</v>
      </c>
      <c r="D21">
        <f>'Battery Bonus O''ahu'!D22+'Battery Bonus Maui'!D22</f>
        <v>3.6654</v>
      </c>
      <c r="E21">
        <f t="shared" si="0"/>
        <v>10.0304</v>
      </c>
      <c r="F21" s="279">
        <f>'Battery Bonus O''ahu'!F22+'Battery Bonus Maui'!F22</f>
        <v>5413693</v>
      </c>
      <c r="G21">
        <f>'Battery Bonus O''ahu'!G22+'Battery Bonus Maui'!G22</f>
        <v>1786</v>
      </c>
      <c r="H21">
        <f>'Battery Bonus O''ahu'!H22+'Battery Bonus Maui'!H22</f>
        <v>11.920000000000002</v>
      </c>
      <c r="I21">
        <f>'Battery Bonus O''ahu'!K22+'Battery Bonus Maui'!K22</f>
        <v>88</v>
      </c>
      <c r="J21">
        <f t="shared" si="1"/>
        <v>2826</v>
      </c>
      <c r="K21">
        <f t="shared" si="2"/>
        <v>21.950400000000002</v>
      </c>
    </row>
    <row r="22" spans="1:11" x14ac:dyDescent="0.3">
      <c r="A22" s="278">
        <v>44958</v>
      </c>
      <c r="B22">
        <f>'Battery Bonus O''ahu'!B23+'Battery Bonus Maui'!B23</f>
        <v>1156</v>
      </c>
      <c r="C22">
        <f>'Battery Bonus O''ahu'!C23+'Battery Bonus Maui'!C23</f>
        <v>7.0799999999999992</v>
      </c>
      <c r="D22">
        <f>'Battery Bonus O''ahu'!D23+'Battery Bonus Maui'!D23</f>
        <v>4.1254</v>
      </c>
      <c r="E22">
        <f t="shared" si="0"/>
        <v>11.205399999999999</v>
      </c>
      <c r="F22" s="279">
        <f>'Battery Bonus O''ahu'!F23+'Battery Bonus Maui'!F23</f>
        <v>6017856</v>
      </c>
      <c r="G22">
        <f>'Battery Bonus O''ahu'!G23+'Battery Bonus Maui'!G23</f>
        <v>1955</v>
      </c>
      <c r="H22">
        <f>'Battery Bonus O''ahu'!H23+'Battery Bonus Maui'!H23</f>
        <v>13.570000000000002</v>
      </c>
      <c r="I22">
        <f>'Battery Bonus O''ahu'!K23+'Battery Bonus Maui'!K23</f>
        <v>77</v>
      </c>
      <c r="J22">
        <f t="shared" si="1"/>
        <v>3111</v>
      </c>
      <c r="K22">
        <f t="shared" si="2"/>
        <v>24.775400000000001</v>
      </c>
    </row>
    <row r="23" spans="1:11" x14ac:dyDescent="0.3">
      <c r="A23" s="278">
        <v>44986</v>
      </c>
      <c r="B23">
        <f>'Battery Bonus O''ahu'!B24+'Battery Bonus Maui'!B24</f>
        <v>1270</v>
      </c>
      <c r="C23">
        <f>'Battery Bonus O''ahu'!C24+'Battery Bonus Maui'!C24</f>
        <v>7.73</v>
      </c>
      <c r="D23">
        <f>'Battery Bonus O''ahu'!D24+'Battery Bonus Maui'!D24</f>
        <v>4.5</v>
      </c>
      <c r="E23">
        <f t="shared" si="0"/>
        <v>12.23</v>
      </c>
      <c r="F23" s="279">
        <f>'Battery Bonus O''ahu'!F24+'Battery Bonus Maui'!F24</f>
        <v>6572178</v>
      </c>
      <c r="G23">
        <f>'Battery Bonus O''ahu'!G24+'Battery Bonus Maui'!G24</f>
        <v>2223</v>
      </c>
      <c r="H23">
        <f>'Battery Bonus O''ahu'!H24+'Battery Bonus Maui'!H24</f>
        <v>15.83</v>
      </c>
      <c r="I23">
        <f>'Battery Bonus O''ahu'!K24+'Battery Bonus Maui'!K24</f>
        <v>90</v>
      </c>
      <c r="J23">
        <f t="shared" si="1"/>
        <v>3493</v>
      </c>
      <c r="K23">
        <f t="shared" si="2"/>
        <v>28.060000000000002</v>
      </c>
    </row>
    <row r="24" spans="1:11" x14ac:dyDescent="0.3">
      <c r="A24" s="278">
        <v>45017</v>
      </c>
      <c r="B24">
        <f>'Battery Bonus O''ahu'!B25+'Battery Bonus Maui'!B25</f>
        <v>1572</v>
      </c>
      <c r="C24">
        <f>'Battery Bonus O''ahu'!C25+'Battery Bonus Maui'!C25</f>
        <v>9.57</v>
      </c>
      <c r="D24">
        <f>'Battery Bonus O''ahu'!D25+'Battery Bonus Maui'!D25</f>
        <v>5.38</v>
      </c>
      <c r="E24">
        <f t="shared" si="0"/>
        <v>14.95</v>
      </c>
      <c r="F24" s="279">
        <f>'Battery Bonus O''ahu'!F25+'Battery Bonus Maui'!F25</f>
        <v>8136532</v>
      </c>
      <c r="G24">
        <f>'Battery Bonus O''ahu'!G25+'Battery Bonus Maui'!G25</f>
        <v>2262</v>
      </c>
      <c r="H24">
        <f>'Battery Bonus O''ahu'!H25+'Battery Bonus Maui'!H25</f>
        <v>16.52</v>
      </c>
      <c r="I24">
        <f>'Battery Bonus O''ahu'!K25+'Battery Bonus Maui'!K25</f>
        <v>81</v>
      </c>
      <c r="J24">
        <f t="shared" si="1"/>
        <v>3834</v>
      </c>
      <c r="K24">
        <f t="shared" si="2"/>
        <v>31.47</v>
      </c>
    </row>
    <row r="25" spans="1:11" x14ac:dyDescent="0.3">
      <c r="A25" s="278">
        <v>45047</v>
      </c>
      <c r="B25">
        <f>'Battery Bonus O''ahu'!B26+'Battery Bonus Maui'!B26</f>
        <v>1767</v>
      </c>
      <c r="C25">
        <f>'Battery Bonus O''ahu'!C26+'Battery Bonus Maui'!C26</f>
        <v>11</v>
      </c>
      <c r="D25">
        <f>'Battery Bonus O''ahu'!D26+'Battery Bonus Maui'!D26</f>
        <v>6.1099999999999994</v>
      </c>
      <c r="E25">
        <f t="shared" si="0"/>
        <v>17.11</v>
      </c>
      <c r="F25" s="279">
        <f>'Battery Bonus O''ahu'!F26+'Battery Bonus Maui'!F26</f>
        <v>9348071</v>
      </c>
      <c r="G25">
        <f>'Battery Bonus O''ahu'!G26+'Battery Bonus Maui'!G26</f>
        <v>2393</v>
      </c>
      <c r="H25">
        <f>'Battery Bonus O''ahu'!H26+'Battery Bonus Maui'!H26</f>
        <v>17.27</v>
      </c>
      <c r="I25">
        <f>'Battery Bonus O''ahu'!K26+'Battery Bonus Maui'!K26</f>
        <v>58</v>
      </c>
      <c r="J25">
        <f t="shared" si="1"/>
        <v>4160</v>
      </c>
      <c r="K25">
        <f t="shared" si="2"/>
        <v>34.379999999999995</v>
      </c>
    </row>
    <row r="26" spans="1:11" x14ac:dyDescent="0.3">
      <c r="A26" s="278">
        <v>45078</v>
      </c>
      <c r="B26">
        <f>'Battery Bonus O''ahu'!B27+'Battery Bonus Maui'!B27</f>
        <v>1945</v>
      </c>
      <c r="C26">
        <f>'Battery Bonus O''ahu'!C27+'Battery Bonus Maui'!C27</f>
        <v>12.2</v>
      </c>
      <c r="D26">
        <f>'Battery Bonus O''ahu'!D27+'Battery Bonus Maui'!D27</f>
        <v>6.71</v>
      </c>
      <c r="E26">
        <f t="shared" si="0"/>
        <v>18.91</v>
      </c>
      <c r="F26" s="279">
        <f>'Battery Bonus O''ahu'!F27+'Battery Bonus Maui'!F27</f>
        <v>10367501</v>
      </c>
      <c r="G26">
        <f>'Battery Bonus O''ahu'!G27+'Battery Bonus Maui'!G27</f>
        <v>2487</v>
      </c>
      <c r="H26">
        <f>'Battery Bonus O''ahu'!H27+'Battery Bonus Maui'!H27</f>
        <v>18.22</v>
      </c>
      <c r="I26">
        <f>'Battery Bonus O''ahu'!K27+'Battery Bonus Maui'!K27</f>
        <v>34</v>
      </c>
      <c r="J26">
        <f t="shared" si="1"/>
        <v>4432</v>
      </c>
      <c r="K26">
        <f t="shared" si="2"/>
        <v>37.129999999999995</v>
      </c>
    </row>
    <row r="27" spans="1:11" x14ac:dyDescent="0.3">
      <c r="A27" s="278">
        <v>45108</v>
      </c>
      <c r="B27">
        <f>'Battery Bonus O''ahu'!B28+'Battery Bonus Maui'!B28</f>
        <v>2005</v>
      </c>
      <c r="C27">
        <f>'Battery Bonus O''ahu'!C28+'Battery Bonus Maui'!C28</f>
        <v>12.64</v>
      </c>
      <c r="D27">
        <f>'Battery Bonus O''ahu'!D28+'Battery Bonus Maui'!D28</f>
        <v>6.95</v>
      </c>
      <c r="E27">
        <f t="shared" ref="E27" si="3">C27+D27</f>
        <v>19.59</v>
      </c>
      <c r="F27" s="279">
        <f>'Battery Bonus O''ahu'!F28+'Battery Bonus Maui'!F28</f>
        <v>10746023</v>
      </c>
      <c r="G27">
        <f>'Battery Bonus O''ahu'!G28+'Battery Bonus Maui'!G28</f>
        <v>2643</v>
      </c>
      <c r="H27">
        <f>'Battery Bonus O''ahu'!H28+'Battery Bonus Maui'!H28</f>
        <v>19.279999999999998</v>
      </c>
      <c r="I27">
        <f>'Battery Bonus O''ahu'!K28+'Battery Bonus Maui'!K28</f>
        <v>46</v>
      </c>
      <c r="J27">
        <f t="shared" ref="J27" si="4">B27+G27</f>
        <v>4648</v>
      </c>
      <c r="K27">
        <f t="shared" ref="K27" si="5">E27+H27</f>
        <v>38.869999999999997</v>
      </c>
    </row>
    <row r="28" spans="1:11" x14ac:dyDescent="0.3">
      <c r="A28" s="278">
        <v>45139</v>
      </c>
      <c r="B28">
        <f>'Battery Bonus O''ahu'!B29+'Battery Bonus Maui'!B29</f>
        <v>2259</v>
      </c>
      <c r="C28">
        <f>'Battery Bonus O''ahu'!C29+'Battery Bonus Maui'!C29</f>
        <v>14.42</v>
      </c>
      <c r="D28">
        <f>'Battery Bonus O''ahu'!D29+'Battery Bonus Maui'!D29</f>
        <v>7.68</v>
      </c>
      <c r="E28">
        <f t="shared" ref="E28" si="6">C28+D28</f>
        <v>22.1</v>
      </c>
      <c r="F28" s="279">
        <f>'Battery Bonus O''ahu'!F29+'Battery Bonus Maui'!F29</f>
        <v>12262993</v>
      </c>
      <c r="G28">
        <f>'Battery Bonus O''ahu'!G29+'Battery Bonus Maui'!G29</f>
        <v>2663</v>
      </c>
      <c r="H28">
        <f>'Battery Bonus O''ahu'!H29+'Battery Bonus Maui'!H29</f>
        <v>19.399999999999999</v>
      </c>
      <c r="I28">
        <f>'Battery Bonus O''ahu'!K29+'Battery Bonus Maui'!K29</f>
        <v>77</v>
      </c>
      <c r="J28">
        <f t="shared" ref="J28" si="7">B28+G28</f>
        <v>4922</v>
      </c>
      <c r="K28">
        <f t="shared" ref="K28" si="8">E28+H28</f>
        <v>41.5</v>
      </c>
    </row>
    <row r="29" spans="1:11" x14ac:dyDescent="0.3">
      <c r="A29" s="278">
        <v>45170</v>
      </c>
      <c r="B29">
        <f>'Battery Bonus O''ahu'!B30+'Battery Bonus Maui'!B30</f>
        <v>2492</v>
      </c>
      <c r="C29">
        <f>'Battery Bonus O''ahu'!C30+'Battery Bonus Maui'!C30</f>
        <v>16.03</v>
      </c>
      <c r="D29">
        <f>'Battery Bonus O''ahu'!D30+'Battery Bonus Maui'!D30</f>
        <v>8.33</v>
      </c>
      <c r="E29">
        <f t="shared" ref="E29" si="9">C29+D29</f>
        <v>24.36</v>
      </c>
      <c r="F29" s="279">
        <f>'Battery Bonus O''ahu'!F30+'Battery Bonus Maui'!F30</f>
        <v>13624565</v>
      </c>
      <c r="G29">
        <f>'Battery Bonus O''ahu'!G30+'Battery Bonus Maui'!G30</f>
        <v>2832</v>
      </c>
      <c r="H29">
        <f>'Battery Bonus O''ahu'!H30+'Battery Bonus Maui'!H30</f>
        <v>20.410000000000004</v>
      </c>
      <c r="I29">
        <f>'Battery Bonus O''ahu'!K30+'Battery Bonus Maui'!K30</f>
        <v>69</v>
      </c>
      <c r="J29">
        <f t="shared" ref="J29" si="10">B29+G29</f>
        <v>5324</v>
      </c>
      <c r="K29">
        <f t="shared" ref="K29" si="11">E29+H29</f>
        <v>44.77</v>
      </c>
    </row>
    <row r="30" spans="1:11" x14ac:dyDescent="0.3">
      <c r="A30" s="278">
        <v>45200</v>
      </c>
      <c r="B30">
        <f>'Battery Bonus O''ahu'!B31+'Battery Bonus Maui'!B31</f>
        <v>2647</v>
      </c>
      <c r="C30">
        <f>'Battery Bonus O''ahu'!C31+'Battery Bonus Maui'!C31</f>
        <v>17.27</v>
      </c>
      <c r="D30">
        <f>'Battery Bonus O''ahu'!D31+'Battery Bonus Maui'!D31</f>
        <v>8.74</v>
      </c>
      <c r="E30">
        <f t="shared" ref="E30" si="12">C30+D30</f>
        <v>26.009999999999998</v>
      </c>
      <c r="F30" s="279">
        <f>'Battery Bonus O''ahu'!F31+'Battery Bonus Maui'!F31</f>
        <v>14680503</v>
      </c>
      <c r="G30">
        <f>'Battery Bonus O''ahu'!G31+'Battery Bonus Maui'!G31</f>
        <v>3158</v>
      </c>
      <c r="H30">
        <f>'Battery Bonus O''ahu'!H31+'Battery Bonus Maui'!H31</f>
        <v>22.39</v>
      </c>
      <c r="I30">
        <f>'Battery Bonus O''ahu'!K31+'Battery Bonus Maui'!K31</f>
        <v>67</v>
      </c>
      <c r="J30">
        <f t="shared" ref="J30" si="13">B30+G30</f>
        <v>5805</v>
      </c>
      <c r="K30">
        <f t="shared" ref="K30" si="14">E30+H30</f>
        <v>48.4</v>
      </c>
    </row>
    <row r="31" spans="1:11" x14ac:dyDescent="0.3">
      <c r="A31" s="278">
        <v>45231</v>
      </c>
      <c r="B31">
        <f>'Battery Bonus O''ahu'!B32+'Battery Bonus Maui'!B32</f>
        <v>2923</v>
      </c>
      <c r="C31">
        <f>'Battery Bonus O''ahu'!C32+'Battery Bonus Maui'!C32</f>
        <v>18.989999999999998</v>
      </c>
      <c r="D31">
        <f>'Battery Bonus O''ahu'!D32+'Battery Bonus Maui'!D32</f>
        <v>9.59</v>
      </c>
      <c r="E31">
        <f t="shared" ref="E31:E32" si="15">C31+D31</f>
        <v>28.58</v>
      </c>
      <c r="F31" s="279">
        <f>'Battery Bonus O''ahu'!F32+'Battery Bonus Maui'!F32</f>
        <v>16146940</v>
      </c>
      <c r="G31">
        <f>'Battery Bonus O''ahu'!G32+'Battery Bonus Maui'!G32</f>
        <v>3381</v>
      </c>
      <c r="H31">
        <f>'Battery Bonus O''ahu'!H32+'Battery Bonus Maui'!H32</f>
        <v>26.29</v>
      </c>
      <c r="I31">
        <f>'Battery Bonus O''ahu'!K32+'Battery Bonus Maui'!K32</f>
        <v>56</v>
      </c>
      <c r="J31">
        <f t="shared" ref="J31:J32" si="16">B31+G31</f>
        <v>6304</v>
      </c>
      <c r="K31">
        <f t="shared" ref="K31:K32" si="17">E31+H31</f>
        <v>54.87</v>
      </c>
    </row>
    <row r="32" spans="1:11" x14ac:dyDescent="0.3">
      <c r="A32" s="278">
        <v>45261</v>
      </c>
      <c r="B32">
        <f>'Battery Bonus O''ahu'!B33+'Battery Bonus Maui'!B33</f>
        <v>3226</v>
      </c>
      <c r="C32">
        <f>'Battery Bonus O''ahu'!C33+'Battery Bonus Maui'!C33</f>
        <v>20.77</v>
      </c>
      <c r="D32">
        <f>'Battery Bonus O''ahu'!D33+'Battery Bonus Maui'!D33</f>
        <v>10.37</v>
      </c>
      <c r="E32">
        <f t="shared" si="15"/>
        <v>31.14</v>
      </c>
      <c r="F32" s="279">
        <f>'Battery Bonus O''ahu'!F33+'Battery Bonus Maui'!F33</f>
        <v>17652231</v>
      </c>
      <c r="G32">
        <f>'Battery Bonus O''ahu'!G33+'Battery Bonus Maui'!G33</f>
        <v>3389</v>
      </c>
      <c r="H32">
        <f>'Battery Bonus O''ahu'!H33+'Battery Bonus Maui'!H33</f>
        <v>26.590000000000003</v>
      </c>
      <c r="I32">
        <f>'Battery Bonus O''ahu'!K33+'Battery Bonus Maui'!K33</f>
        <v>37</v>
      </c>
      <c r="J32">
        <f t="shared" si="16"/>
        <v>6615</v>
      </c>
      <c r="K32">
        <f t="shared" si="17"/>
        <v>57.730000000000004</v>
      </c>
    </row>
    <row r="33" spans="1:11" x14ac:dyDescent="0.3">
      <c r="A33" s="278">
        <v>45292</v>
      </c>
      <c r="B33">
        <f>'Battery Bonus O''ahu'!B34+'Battery Bonus Maui'!B34</f>
        <v>3441</v>
      </c>
      <c r="C33">
        <f>'Battery Bonus O''ahu'!C34+'Battery Bonus Maui'!C34</f>
        <v>23.15</v>
      </c>
      <c r="D33">
        <f>'Battery Bonus O''ahu'!D34+'Battery Bonus Maui'!D34</f>
        <v>10.86</v>
      </c>
      <c r="E33">
        <f t="shared" ref="E33" si="18">C33+D33</f>
        <v>34.01</v>
      </c>
      <c r="F33" s="279">
        <f>'Battery Bonus O''ahu'!F34+'Battery Bonus Maui'!F34</f>
        <v>19017705</v>
      </c>
      <c r="G33">
        <f>'Battery Bonus O''ahu'!G34+'Battery Bonus Maui'!G34</f>
        <v>3683</v>
      </c>
      <c r="H33">
        <f>'Battery Bonus O''ahu'!H34+'Battery Bonus Maui'!H34</f>
        <v>28.81</v>
      </c>
      <c r="I33">
        <f>'Battery Bonus O''ahu'!K34+'Battery Bonus Maui'!K34</f>
        <v>83</v>
      </c>
      <c r="J33">
        <f t="shared" ref="J33" si="19">B33+G33</f>
        <v>7124</v>
      </c>
      <c r="K33">
        <f t="shared" ref="K33" si="20">E33+H33</f>
        <v>62.819999999999993</v>
      </c>
    </row>
    <row r="34" spans="1:11" x14ac:dyDescent="0.3">
      <c r="A34" s="278">
        <v>45323</v>
      </c>
      <c r="B34">
        <f>'Battery Bonus O''ahu'!B35+'Battery Bonus Maui'!B35</f>
        <v>3906</v>
      </c>
      <c r="C34">
        <f>'Battery Bonus O''ahu'!C35+'Battery Bonus Maui'!C35</f>
        <v>25.59</v>
      </c>
      <c r="D34">
        <f>'Battery Bonus O''ahu'!D35+'Battery Bonus Maui'!D35</f>
        <v>12.15</v>
      </c>
      <c r="E34">
        <f t="shared" ref="E34:E38" si="21">C34+D34</f>
        <v>37.74</v>
      </c>
      <c r="F34" s="279">
        <f>'Battery Bonus O''ahu'!F35+'Battery Bonus Maui'!F35</f>
        <v>21744462</v>
      </c>
      <c r="G34">
        <f>'Battery Bonus O''ahu'!G35+'Battery Bonus Maui'!G35</f>
        <v>3499</v>
      </c>
      <c r="H34">
        <f>'Battery Bonus O''ahu'!H35+'Battery Bonus Maui'!H35</f>
        <v>28.860000000000003</v>
      </c>
      <c r="I34">
        <f>'Battery Bonus O''ahu'!K35+'Battery Bonus Maui'!K35</f>
        <v>22</v>
      </c>
      <c r="J34">
        <f t="shared" ref="J34:J38" si="22">B34+G34</f>
        <v>7405</v>
      </c>
      <c r="K34">
        <f t="shared" ref="K34:K38" si="23">E34+H34</f>
        <v>66.600000000000009</v>
      </c>
    </row>
    <row r="35" spans="1:11" x14ac:dyDescent="0.3">
      <c r="A35" s="278">
        <v>45352</v>
      </c>
      <c r="B35">
        <f>'Battery Bonus O''ahu'!B36+'Battery Bonus Maui'!B36</f>
        <v>4204</v>
      </c>
      <c r="C35">
        <f>'Battery Bonus O''ahu'!C36+'Battery Bonus Maui'!C36</f>
        <v>27.44</v>
      </c>
      <c r="D35">
        <f>'Battery Bonus O''ahu'!D36+'Battery Bonus Maui'!D36</f>
        <v>13</v>
      </c>
      <c r="E35">
        <f t="shared" si="21"/>
        <v>40.44</v>
      </c>
      <c r="F35" s="279">
        <f>'Battery Bonus O''ahu'!F36+'Battery Bonus Maui'!F36</f>
        <v>23318611</v>
      </c>
      <c r="G35">
        <f>'Battery Bonus O''ahu'!G36+'Battery Bonus Maui'!G36</f>
        <v>3266</v>
      </c>
      <c r="H35">
        <f>'Battery Bonus O''ahu'!H36+'Battery Bonus Maui'!H36</f>
        <v>27.299999999999997</v>
      </c>
      <c r="I35">
        <f>'Battery Bonus O''ahu'!K36+'Battery Bonus Maui'!K36</f>
        <v>20</v>
      </c>
      <c r="J35">
        <f t="shared" si="22"/>
        <v>7470</v>
      </c>
      <c r="K35">
        <f t="shared" si="23"/>
        <v>67.739999999999995</v>
      </c>
    </row>
    <row r="36" spans="1:11" x14ac:dyDescent="0.3">
      <c r="A36" s="278">
        <v>45383</v>
      </c>
      <c r="B36">
        <f>'Battery Bonus O''ahu'!B37+'Battery Bonus Maui'!B37</f>
        <v>4480</v>
      </c>
      <c r="C36">
        <f>'Battery Bonus O''ahu'!C37+'Battery Bonus Maui'!C37</f>
        <v>29.33</v>
      </c>
      <c r="D36">
        <f>'Battery Bonus O''ahu'!D37+'Battery Bonus Maui'!D37</f>
        <v>13.729999999999999</v>
      </c>
      <c r="E36">
        <f t="shared" si="21"/>
        <v>43.059999999999995</v>
      </c>
      <c r="F36" s="279">
        <f>'Battery Bonus O''ahu'!F37+'Battery Bonus Maui'!F37</f>
        <v>24927644</v>
      </c>
      <c r="G36">
        <f>'Battery Bonus O''ahu'!G37+'Battery Bonus Maui'!G37</f>
        <v>3032</v>
      </c>
      <c r="H36">
        <f>'Battery Bonus O''ahu'!H37+'Battery Bonus Maui'!H37</f>
        <v>25.72</v>
      </c>
      <c r="I36">
        <f>'Battery Bonus O''ahu'!K37+'Battery Bonus Maui'!K37</f>
        <v>7</v>
      </c>
      <c r="J36">
        <f t="shared" si="22"/>
        <v>7512</v>
      </c>
      <c r="K36">
        <f t="shared" si="23"/>
        <v>68.78</v>
      </c>
    </row>
    <row r="37" spans="1:11" x14ac:dyDescent="0.3">
      <c r="A37" s="278">
        <v>45413</v>
      </c>
      <c r="B37">
        <f>'Battery Bonus O''ahu'!B38+'Battery Bonus Maui'!B38</f>
        <v>4963</v>
      </c>
      <c r="C37">
        <f>'Battery Bonus O''ahu'!C38+'Battery Bonus Maui'!C38</f>
        <v>32.450000000000003</v>
      </c>
      <c r="D37">
        <f>'Battery Bonus O''ahu'!D38+'Battery Bonus Maui'!D38</f>
        <v>15.39</v>
      </c>
      <c r="E37">
        <f t="shared" si="21"/>
        <v>47.84</v>
      </c>
      <c r="F37" s="279">
        <f>'Battery Bonus O''ahu'!F38+'Battery Bonus Maui'!F38</f>
        <v>27579610</v>
      </c>
      <c r="G37">
        <f>'Battery Bonus O''ahu'!G38+'Battery Bonus Maui'!G38</f>
        <v>2622</v>
      </c>
      <c r="H37">
        <f>'Battery Bonus O''ahu'!H38+'Battery Bonus Maui'!H38</f>
        <v>23.84</v>
      </c>
      <c r="I37">
        <f>'Battery Bonus O''ahu'!K38+'Battery Bonus Maui'!K38</f>
        <v>13</v>
      </c>
      <c r="J37">
        <f t="shared" si="22"/>
        <v>7585</v>
      </c>
      <c r="K37">
        <f t="shared" si="23"/>
        <v>71.680000000000007</v>
      </c>
    </row>
    <row r="38" spans="1:11" x14ac:dyDescent="0.3">
      <c r="A38" s="278">
        <v>45444</v>
      </c>
      <c r="B38">
        <f>'Battery Bonus O''ahu'!B39+'Battery Bonus Maui'!B39</f>
        <v>5045</v>
      </c>
      <c r="C38">
        <f>'Battery Bonus O''ahu'!C39+'Battery Bonus Maui'!C39</f>
        <v>33.03</v>
      </c>
      <c r="D38">
        <f>'Battery Bonus O''ahu'!D39+'Battery Bonus Maui'!D39</f>
        <v>16</v>
      </c>
      <c r="E38">
        <f t="shared" si="21"/>
        <v>49.03</v>
      </c>
      <c r="F38" s="279">
        <f>'Battery Bonus O''ahu'!F39+'Battery Bonus Maui'!F39</f>
        <v>28076112</v>
      </c>
      <c r="G38">
        <f>'Battery Bonus O''ahu'!G39+'Battery Bonus Maui'!G39</f>
        <v>2575</v>
      </c>
      <c r="H38">
        <f>'Battery Bonus O''ahu'!H39+'Battery Bonus Maui'!H39</f>
        <v>23.490000000000002</v>
      </c>
      <c r="I38">
        <f>'Battery Bonus O''ahu'!K39+'Battery Bonus Maui'!K39</f>
        <v>3</v>
      </c>
      <c r="J38">
        <f t="shared" si="22"/>
        <v>7620</v>
      </c>
      <c r="K38">
        <f t="shared" si="23"/>
        <v>72.52000000000001</v>
      </c>
    </row>
    <row r="39" spans="1:11" x14ac:dyDescent="0.3">
      <c r="A39" s="278">
        <v>45474</v>
      </c>
      <c r="B39">
        <f>'Battery Bonus O''ahu'!B40+'Battery Bonus Maui'!B40</f>
        <v>5218</v>
      </c>
      <c r="C39">
        <f>'Battery Bonus O''ahu'!C40+'Battery Bonus Maui'!C40</f>
        <v>34.24</v>
      </c>
      <c r="D39">
        <f>'Battery Bonus O''ahu'!D40+'Battery Bonus Maui'!D40</f>
        <v>16.189999999999998</v>
      </c>
      <c r="E39">
        <f t="shared" ref="E39" si="24">C39+D39</f>
        <v>50.43</v>
      </c>
      <c r="F39" s="279">
        <f>'Battery Bonus O''ahu'!F40+'Battery Bonus Maui'!F40</f>
        <v>29103524</v>
      </c>
      <c r="G39">
        <f>'Battery Bonus O''ahu'!G40+'Battery Bonus Maui'!G40</f>
        <v>2444</v>
      </c>
      <c r="H39">
        <f>'Battery Bonus O''ahu'!H40+'Battery Bonus Maui'!H40</f>
        <v>22.55</v>
      </c>
      <c r="I39">
        <f>'Battery Bonus O''ahu'!K40+'Battery Bonus Maui'!K40</f>
        <v>0</v>
      </c>
      <c r="J39">
        <f t="shared" ref="J39" si="25">B39+G39</f>
        <v>7662</v>
      </c>
      <c r="K39">
        <f t="shared" ref="K39" si="26">E39+H39</f>
        <v>72.98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BDB3-24CE-4817-9EBE-38694E083D9E}">
  <dimension ref="A1:K40"/>
  <sheetViews>
    <sheetView zoomScale="85" zoomScaleNormal="85" workbookViewId="0">
      <pane ySplit="3" topLeftCell="A24" activePane="bottomLeft" state="frozen"/>
      <selection activeCell="L33" sqref="L33"/>
      <selection pane="bottomLeft" activeCell="K40" sqref="K40"/>
    </sheetView>
  </sheetViews>
  <sheetFormatPr defaultColWidth="8.625" defaultRowHeight="16.5" x14ac:dyDescent="0.3"/>
  <cols>
    <col min="2" max="2" width="15" bestFit="1" customWidth="1"/>
    <col min="3" max="3" width="14.375" customWidth="1"/>
    <col min="4" max="5" width="18.125" customWidth="1"/>
    <col min="6" max="6" width="16.375" customWidth="1"/>
    <col min="7" max="7" width="15.375" bestFit="1" customWidth="1"/>
    <col min="8" max="8" width="9" bestFit="1" customWidth="1"/>
    <col min="9" max="10" width="15.5" customWidth="1"/>
    <col min="11" max="11" width="16.625" bestFit="1" customWidth="1"/>
  </cols>
  <sheetData>
    <row r="1" spans="1:11" ht="26.45" customHeight="1" x14ac:dyDescent="0.3">
      <c r="A1" s="284" t="s">
        <v>587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29.1" customHeight="1" x14ac:dyDescent="0.3">
      <c r="A2" s="285" t="s">
        <v>589</v>
      </c>
      <c r="B2" s="285" t="s">
        <v>600</v>
      </c>
      <c r="C2" s="285"/>
      <c r="D2" s="285"/>
      <c r="E2" s="285"/>
      <c r="F2" s="277" t="s">
        <v>601</v>
      </c>
      <c r="G2" s="285" t="s">
        <v>602</v>
      </c>
      <c r="H2" s="285"/>
      <c r="I2" s="277" t="s">
        <v>598</v>
      </c>
      <c r="J2" s="277" t="s">
        <v>599</v>
      </c>
      <c r="K2" s="277" t="s">
        <v>603</v>
      </c>
    </row>
    <row r="3" spans="1:11" ht="49.5" x14ac:dyDescent="0.3">
      <c r="A3" s="285"/>
      <c r="B3" s="277" t="s">
        <v>604</v>
      </c>
      <c r="C3" s="277" t="s">
        <v>605</v>
      </c>
      <c r="D3" s="277" t="s">
        <v>606</v>
      </c>
      <c r="E3" s="277" t="s">
        <v>607</v>
      </c>
      <c r="F3" s="277" t="s">
        <v>608</v>
      </c>
      <c r="G3" s="277" t="s">
        <v>604</v>
      </c>
      <c r="H3" s="277" t="s">
        <v>609</v>
      </c>
      <c r="I3" s="277" t="s">
        <v>604</v>
      </c>
      <c r="J3" s="277" t="s">
        <v>609</v>
      </c>
      <c r="K3" s="277" t="s">
        <v>604</v>
      </c>
    </row>
    <row r="4" spans="1:11" x14ac:dyDescent="0.3">
      <c r="A4" s="278">
        <v>44378</v>
      </c>
      <c r="B4">
        <v>0</v>
      </c>
      <c r="C4">
        <v>0</v>
      </c>
      <c r="D4">
        <v>0</v>
      </c>
      <c r="E4">
        <f t="shared" ref="E4:E21" si="0">SUM(C3:D4)</f>
        <v>0</v>
      </c>
      <c r="F4" s="280">
        <v>0</v>
      </c>
      <c r="G4">
        <v>0</v>
      </c>
      <c r="H4">
        <v>0</v>
      </c>
      <c r="I4">
        <f t="shared" ref="I4:I30" si="1">SUM(G4,B4)</f>
        <v>0</v>
      </c>
      <c r="J4">
        <f t="shared" ref="J4:J29" si="2">SUM(E4,H4)</f>
        <v>0</v>
      </c>
      <c r="K4">
        <v>0</v>
      </c>
    </row>
    <row r="5" spans="1:11" x14ac:dyDescent="0.3">
      <c r="A5" s="278">
        <v>44409</v>
      </c>
      <c r="B5">
        <v>0</v>
      </c>
      <c r="C5">
        <v>0</v>
      </c>
      <c r="D5">
        <v>0</v>
      </c>
      <c r="E5">
        <f t="shared" si="0"/>
        <v>0</v>
      </c>
      <c r="F5" s="280">
        <v>0</v>
      </c>
      <c r="G5">
        <v>0</v>
      </c>
      <c r="H5">
        <v>0</v>
      </c>
      <c r="I5">
        <f t="shared" si="1"/>
        <v>0</v>
      </c>
      <c r="J5">
        <f t="shared" si="2"/>
        <v>0</v>
      </c>
      <c r="K5">
        <v>0</v>
      </c>
    </row>
    <row r="6" spans="1:11" x14ac:dyDescent="0.3">
      <c r="A6" s="278">
        <v>44440</v>
      </c>
      <c r="B6">
        <v>0</v>
      </c>
      <c r="C6">
        <v>0</v>
      </c>
      <c r="D6">
        <v>0</v>
      </c>
      <c r="E6">
        <f t="shared" si="0"/>
        <v>0</v>
      </c>
      <c r="F6" s="280">
        <v>0</v>
      </c>
      <c r="G6">
        <v>0</v>
      </c>
      <c r="H6">
        <v>0</v>
      </c>
      <c r="I6">
        <f t="shared" si="1"/>
        <v>0</v>
      </c>
      <c r="J6">
        <f t="shared" si="2"/>
        <v>0</v>
      </c>
      <c r="K6">
        <v>0</v>
      </c>
    </row>
    <row r="7" spans="1:11" x14ac:dyDescent="0.3">
      <c r="A7" s="278">
        <v>44470</v>
      </c>
      <c r="B7">
        <v>0</v>
      </c>
      <c r="C7">
        <v>0</v>
      </c>
      <c r="D7">
        <v>0</v>
      </c>
      <c r="E7">
        <f t="shared" si="0"/>
        <v>0</v>
      </c>
      <c r="F7" s="280">
        <v>0</v>
      </c>
      <c r="G7">
        <v>0</v>
      </c>
      <c r="H7">
        <v>0</v>
      </c>
      <c r="I7">
        <f t="shared" si="1"/>
        <v>0</v>
      </c>
      <c r="J7">
        <f t="shared" si="2"/>
        <v>0</v>
      </c>
      <c r="K7">
        <v>0</v>
      </c>
    </row>
    <row r="8" spans="1:11" x14ac:dyDescent="0.3">
      <c r="A8" s="278">
        <v>44501</v>
      </c>
      <c r="B8">
        <v>0</v>
      </c>
      <c r="C8">
        <v>0</v>
      </c>
      <c r="D8">
        <v>0</v>
      </c>
      <c r="E8">
        <f t="shared" si="0"/>
        <v>0</v>
      </c>
      <c r="F8" s="280">
        <v>0</v>
      </c>
      <c r="G8">
        <v>0</v>
      </c>
      <c r="H8">
        <v>0</v>
      </c>
      <c r="I8">
        <f t="shared" si="1"/>
        <v>0</v>
      </c>
      <c r="J8">
        <f t="shared" si="2"/>
        <v>0</v>
      </c>
      <c r="K8">
        <v>0</v>
      </c>
    </row>
    <row r="9" spans="1:11" x14ac:dyDescent="0.3">
      <c r="A9" s="278">
        <v>44531</v>
      </c>
      <c r="B9">
        <v>0</v>
      </c>
      <c r="C9">
        <v>0</v>
      </c>
      <c r="D9">
        <v>0</v>
      </c>
      <c r="E9">
        <f t="shared" si="0"/>
        <v>0</v>
      </c>
      <c r="F9" s="280">
        <v>0</v>
      </c>
      <c r="G9">
        <v>0</v>
      </c>
      <c r="H9">
        <v>0</v>
      </c>
      <c r="I9">
        <f t="shared" si="1"/>
        <v>0</v>
      </c>
      <c r="J9">
        <f t="shared" si="2"/>
        <v>0</v>
      </c>
      <c r="K9">
        <v>0</v>
      </c>
    </row>
    <row r="10" spans="1:11" x14ac:dyDescent="0.3">
      <c r="A10" s="278">
        <v>44562</v>
      </c>
      <c r="B10">
        <v>0</v>
      </c>
      <c r="C10">
        <v>0</v>
      </c>
      <c r="D10">
        <v>0</v>
      </c>
      <c r="E10">
        <f t="shared" si="0"/>
        <v>0</v>
      </c>
      <c r="F10" s="280">
        <v>0</v>
      </c>
      <c r="G10">
        <v>0</v>
      </c>
      <c r="H10">
        <v>0</v>
      </c>
      <c r="I10">
        <f t="shared" si="1"/>
        <v>0</v>
      </c>
      <c r="J10">
        <f t="shared" si="2"/>
        <v>0</v>
      </c>
      <c r="K10">
        <v>0</v>
      </c>
    </row>
    <row r="11" spans="1:11" x14ac:dyDescent="0.3">
      <c r="A11" s="278">
        <v>44593</v>
      </c>
      <c r="B11">
        <v>0</v>
      </c>
      <c r="C11">
        <v>0</v>
      </c>
      <c r="D11">
        <v>0</v>
      </c>
      <c r="E11">
        <f t="shared" si="0"/>
        <v>0</v>
      </c>
      <c r="F11" s="280">
        <v>0</v>
      </c>
      <c r="G11">
        <v>0</v>
      </c>
      <c r="H11">
        <v>0</v>
      </c>
      <c r="I11">
        <f t="shared" si="1"/>
        <v>0</v>
      </c>
      <c r="J11">
        <f t="shared" si="2"/>
        <v>0</v>
      </c>
      <c r="K11">
        <v>0</v>
      </c>
    </row>
    <row r="12" spans="1:11" x14ac:dyDescent="0.3">
      <c r="A12" s="278">
        <v>44621</v>
      </c>
      <c r="B12">
        <v>0</v>
      </c>
      <c r="C12">
        <v>0</v>
      </c>
      <c r="D12">
        <v>0</v>
      </c>
      <c r="E12">
        <f t="shared" si="0"/>
        <v>0</v>
      </c>
      <c r="F12" s="280">
        <v>0</v>
      </c>
      <c r="G12">
        <v>0</v>
      </c>
      <c r="H12">
        <v>0</v>
      </c>
      <c r="I12">
        <f t="shared" si="1"/>
        <v>0</v>
      </c>
      <c r="J12">
        <f t="shared" si="2"/>
        <v>0</v>
      </c>
      <c r="K12">
        <v>0</v>
      </c>
    </row>
    <row r="13" spans="1:11" x14ac:dyDescent="0.3">
      <c r="A13" s="278">
        <v>44652</v>
      </c>
      <c r="B13">
        <v>0</v>
      </c>
      <c r="C13">
        <v>0</v>
      </c>
      <c r="D13">
        <v>0</v>
      </c>
      <c r="E13">
        <f t="shared" si="0"/>
        <v>0</v>
      </c>
      <c r="F13" s="280">
        <v>0</v>
      </c>
      <c r="G13">
        <v>0</v>
      </c>
      <c r="H13">
        <v>0</v>
      </c>
      <c r="I13">
        <f t="shared" si="1"/>
        <v>0</v>
      </c>
      <c r="J13">
        <f t="shared" si="2"/>
        <v>0</v>
      </c>
      <c r="K13">
        <v>0</v>
      </c>
    </row>
    <row r="14" spans="1:11" x14ac:dyDescent="0.3">
      <c r="A14" s="278">
        <v>44682</v>
      </c>
      <c r="B14">
        <v>0</v>
      </c>
      <c r="C14">
        <v>0</v>
      </c>
      <c r="D14">
        <v>0</v>
      </c>
      <c r="E14">
        <f t="shared" si="0"/>
        <v>0</v>
      </c>
      <c r="F14" s="280">
        <v>0</v>
      </c>
      <c r="G14">
        <v>0</v>
      </c>
      <c r="H14">
        <v>0</v>
      </c>
      <c r="I14">
        <f t="shared" si="1"/>
        <v>0</v>
      </c>
      <c r="J14">
        <f t="shared" si="2"/>
        <v>0</v>
      </c>
      <c r="K14">
        <v>0</v>
      </c>
    </row>
    <row r="15" spans="1:11" x14ac:dyDescent="0.3">
      <c r="A15" s="278">
        <v>44713</v>
      </c>
      <c r="B15">
        <v>0</v>
      </c>
      <c r="C15">
        <v>0</v>
      </c>
      <c r="D15">
        <v>0</v>
      </c>
      <c r="E15">
        <f t="shared" si="0"/>
        <v>0</v>
      </c>
      <c r="F15" s="280">
        <v>0</v>
      </c>
      <c r="G15">
        <v>0</v>
      </c>
      <c r="H15">
        <v>0</v>
      </c>
      <c r="I15">
        <f t="shared" si="1"/>
        <v>0</v>
      </c>
      <c r="J15">
        <f t="shared" si="2"/>
        <v>0</v>
      </c>
      <c r="K15">
        <v>2</v>
      </c>
    </row>
    <row r="16" spans="1:11" x14ac:dyDescent="0.3">
      <c r="A16" s="278">
        <v>44743</v>
      </c>
      <c r="B16">
        <v>0</v>
      </c>
      <c r="C16">
        <v>0</v>
      </c>
      <c r="D16">
        <v>0</v>
      </c>
      <c r="E16">
        <f t="shared" si="0"/>
        <v>0</v>
      </c>
      <c r="F16" s="280">
        <v>0</v>
      </c>
      <c r="G16">
        <v>0</v>
      </c>
      <c r="H16">
        <v>0</v>
      </c>
      <c r="I16">
        <f t="shared" si="1"/>
        <v>0</v>
      </c>
      <c r="J16">
        <f t="shared" si="2"/>
        <v>0</v>
      </c>
      <c r="K16">
        <v>1</v>
      </c>
    </row>
    <row r="17" spans="1:11" x14ac:dyDescent="0.3">
      <c r="A17" s="278">
        <v>44774</v>
      </c>
      <c r="B17">
        <v>0</v>
      </c>
      <c r="C17">
        <v>0</v>
      </c>
      <c r="D17">
        <v>0</v>
      </c>
      <c r="E17">
        <f t="shared" si="0"/>
        <v>0</v>
      </c>
      <c r="F17" s="280">
        <v>0</v>
      </c>
      <c r="G17">
        <v>10</v>
      </c>
      <c r="H17">
        <v>0.11</v>
      </c>
      <c r="I17">
        <f t="shared" si="1"/>
        <v>10</v>
      </c>
      <c r="J17">
        <f t="shared" si="2"/>
        <v>0.11</v>
      </c>
      <c r="K17">
        <v>4</v>
      </c>
    </row>
    <row r="18" spans="1:11" x14ac:dyDescent="0.3">
      <c r="A18" s="278">
        <v>44805</v>
      </c>
      <c r="B18">
        <v>0</v>
      </c>
      <c r="C18">
        <v>0</v>
      </c>
      <c r="D18">
        <v>0</v>
      </c>
      <c r="E18">
        <f t="shared" si="0"/>
        <v>0</v>
      </c>
      <c r="F18" s="280">
        <v>0</v>
      </c>
      <c r="G18">
        <v>25</v>
      </c>
      <c r="H18">
        <v>0.41</v>
      </c>
      <c r="I18">
        <f t="shared" si="1"/>
        <v>25</v>
      </c>
      <c r="J18">
        <f t="shared" si="2"/>
        <v>0.41</v>
      </c>
      <c r="K18">
        <v>14</v>
      </c>
    </row>
    <row r="19" spans="1:11" x14ac:dyDescent="0.3">
      <c r="A19" s="278">
        <v>44835</v>
      </c>
      <c r="B19">
        <v>0</v>
      </c>
      <c r="C19">
        <v>0</v>
      </c>
      <c r="D19">
        <v>0</v>
      </c>
      <c r="E19">
        <f t="shared" si="0"/>
        <v>0</v>
      </c>
      <c r="F19" s="280">
        <v>0</v>
      </c>
      <c r="G19">
        <v>75</v>
      </c>
      <c r="H19">
        <v>0.7</v>
      </c>
      <c r="I19">
        <f t="shared" si="1"/>
        <v>75</v>
      </c>
      <c r="J19">
        <f t="shared" si="2"/>
        <v>0.7</v>
      </c>
      <c r="K19">
        <v>7</v>
      </c>
    </row>
    <row r="20" spans="1:11" x14ac:dyDescent="0.3">
      <c r="A20" s="278">
        <v>44866</v>
      </c>
      <c r="B20">
        <v>0</v>
      </c>
      <c r="C20">
        <v>0</v>
      </c>
      <c r="D20">
        <v>0</v>
      </c>
      <c r="E20">
        <f t="shared" si="0"/>
        <v>0</v>
      </c>
      <c r="F20" s="280">
        <v>0</v>
      </c>
      <c r="G20">
        <v>118</v>
      </c>
      <c r="H20">
        <v>1.01</v>
      </c>
      <c r="I20">
        <f t="shared" si="1"/>
        <v>118</v>
      </c>
      <c r="J20">
        <f t="shared" si="2"/>
        <v>1.01</v>
      </c>
      <c r="K20">
        <v>7</v>
      </c>
    </row>
    <row r="21" spans="1:11" x14ac:dyDescent="0.3">
      <c r="A21" s="278">
        <v>44896</v>
      </c>
      <c r="B21">
        <v>0</v>
      </c>
      <c r="C21">
        <v>0</v>
      </c>
      <c r="D21">
        <v>0</v>
      </c>
      <c r="E21">
        <f t="shared" si="0"/>
        <v>0</v>
      </c>
      <c r="F21" s="280">
        <v>0</v>
      </c>
      <c r="G21">
        <f>148+5</f>
        <v>153</v>
      </c>
      <c r="H21">
        <f>1.25</f>
        <v>1.25</v>
      </c>
      <c r="I21">
        <f t="shared" si="1"/>
        <v>153</v>
      </c>
      <c r="J21">
        <f t="shared" si="2"/>
        <v>1.25</v>
      </c>
      <c r="K21">
        <v>4</v>
      </c>
    </row>
    <row r="22" spans="1:11" x14ac:dyDescent="0.3">
      <c r="A22" s="278">
        <v>44927</v>
      </c>
      <c r="B22">
        <v>3</v>
      </c>
      <c r="C22">
        <v>1.4999999999999999E-2</v>
      </c>
      <c r="D22">
        <v>5.4000000000000003E-3</v>
      </c>
      <c r="E22">
        <f>SUM(C22:D22)</f>
        <v>2.0400000000000001E-2</v>
      </c>
      <c r="F22" s="280">
        <v>12750</v>
      </c>
      <c r="G22">
        <f>181+8</f>
        <v>189</v>
      </c>
      <c r="H22">
        <f>1.4+0.08</f>
        <v>1.48</v>
      </c>
      <c r="I22">
        <f t="shared" si="1"/>
        <v>192</v>
      </c>
      <c r="J22">
        <f t="shared" si="2"/>
        <v>1.5004</v>
      </c>
      <c r="K22">
        <v>38</v>
      </c>
    </row>
    <row r="23" spans="1:11" x14ac:dyDescent="0.3">
      <c r="A23" s="278">
        <v>44958</v>
      </c>
      <c r="B23">
        <v>4</v>
      </c>
      <c r="C23">
        <v>0.02</v>
      </c>
      <c r="D23">
        <v>5.4000000000000003E-3</v>
      </c>
      <c r="E23">
        <f t="shared" ref="E23:E29" si="3">SUM(C23:D23)</f>
        <v>2.5399999999999999E-2</v>
      </c>
      <c r="F23" s="280">
        <v>17000</v>
      </c>
      <c r="G23">
        <v>251</v>
      </c>
      <c r="H23">
        <v>1.97</v>
      </c>
      <c r="I23">
        <f t="shared" si="1"/>
        <v>255</v>
      </c>
      <c r="J23">
        <f t="shared" si="2"/>
        <v>1.9954000000000001</v>
      </c>
      <c r="K23">
        <v>20</v>
      </c>
    </row>
    <row r="24" spans="1:11" x14ac:dyDescent="0.3">
      <c r="A24" s="278">
        <v>44986</v>
      </c>
      <c r="B24">
        <v>8</v>
      </c>
      <c r="C24">
        <v>0.08</v>
      </c>
      <c r="D24">
        <v>0.01</v>
      </c>
      <c r="E24">
        <f t="shared" si="3"/>
        <v>0.09</v>
      </c>
      <c r="F24" s="280">
        <v>70678</v>
      </c>
      <c r="G24">
        <v>344</v>
      </c>
      <c r="H24">
        <v>2.69</v>
      </c>
      <c r="I24">
        <f t="shared" si="1"/>
        <v>352</v>
      </c>
      <c r="J24">
        <f t="shared" si="2"/>
        <v>2.78</v>
      </c>
      <c r="K24">
        <v>21</v>
      </c>
    </row>
    <row r="25" spans="1:11" x14ac:dyDescent="0.3">
      <c r="A25" s="278">
        <v>45017</v>
      </c>
      <c r="B25">
        <v>22</v>
      </c>
      <c r="C25">
        <v>0.17</v>
      </c>
      <c r="D25">
        <v>0.04</v>
      </c>
      <c r="E25">
        <f t="shared" si="3"/>
        <v>0.21000000000000002</v>
      </c>
      <c r="F25" s="280">
        <v>145818</v>
      </c>
      <c r="G25">
        <f>347+43</f>
        <v>390</v>
      </c>
      <c r="H25">
        <v>3.09</v>
      </c>
      <c r="I25">
        <f t="shared" si="1"/>
        <v>412</v>
      </c>
      <c r="J25">
        <f t="shared" si="2"/>
        <v>3.3</v>
      </c>
      <c r="K25">
        <v>24</v>
      </c>
    </row>
    <row r="26" spans="1:11" x14ac:dyDescent="0.3">
      <c r="A26" s="278">
        <v>45069</v>
      </c>
      <c r="B26">
        <v>42</v>
      </c>
      <c r="C26">
        <v>0.32</v>
      </c>
      <c r="D26">
        <v>0.09</v>
      </c>
      <c r="E26">
        <f t="shared" si="3"/>
        <v>0.41000000000000003</v>
      </c>
      <c r="F26" s="280">
        <v>272213</v>
      </c>
      <c r="G26">
        <v>421</v>
      </c>
      <c r="H26">
        <v>3.31</v>
      </c>
      <c r="I26">
        <f t="shared" si="1"/>
        <v>463</v>
      </c>
      <c r="J26">
        <f t="shared" si="2"/>
        <v>3.72</v>
      </c>
      <c r="K26">
        <v>15</v>
      </c>
    </row>
    <row r="27" spans="1:11" x14ac:dyDescent="0.3">
      <c r="A27" s="278">
        <v>45078</v>
      </c>
      <c r="B27">
        <v>73</v>
      </c>
      <c r="C27">
        <v>0.53</v>
      </c>
      <c r="D27">
        <v>0.19</v>
      </c>
      <c r="E27">
        <f t="shared" si="3"/>
        <v>0.72</v>
      </c>
      <c r="F27" s="280">
        <v>451818</v>
      </c>
      <c r="G27">
        <f>366+66</f>
        <v>432</v>
      </c>
      <c r="H27">
        <f>0.48+2.93</f>
        <v>3.41</v>
      </c>
      <c r="I27">
        <f t="shared" si="1"/>
        <v>505</v>
      </c>
      <c r="J27">
        <f t="shared" si="2"/>
        <v>4.13</v>
      </c>
      <c r="K27">
        <v>7</v>
      </c>
    </row>
    <row r="28" spans="1:11" x14ac:dyDescent="0.3">
      <c r="A28" s="278">
        <v>45108</v>
      </c>
      <c r="B28">
        <v>81</v>
      </c>
      <c r="C28">
        <v>0.57999999999999996</v>
      </c>
      <c r="D28">
        <v>0.21</v>
      </c>
      <c r="E28">
        <f t="shared" si="3"/>
        <v>0.78999999999999992</v>
      </c>
      <c r="F28" s="280">
        <v>491598</v>
      </c>
      <c r="G28">
        <f>112+350</f>
        <v>462</v>
      </c>
      <c r="H28">
        <f>2.76+0.85</f>
        <v>3.61</v>
      </c>
      <c r="I28">
        <f t="shared" si="1"/>
        <v>543</v>
      </c>
      <c r="J28">
        <f t="shared" si="2"/>
        <v>4.3999999999999995</v>
      </c>
      <c r="K28">
        <v>9</v>
      </c>
    </row>
    <row r="29" spans="1:11" x14ac:dyDescent="0.3">
      <c r="A29" s="278">
        <v>45139</v>
      </c>
      <c r="B29">
        <v>128</v>
      </c>
      <c r="C29">
        <v>0.95</v>
      </c>
      <c r="D29">
        <v>0.28999999999999998</v>
      </c>
      <c r="E29">
        <f t="shared" si="3"/>
        <v>1.24</v>
      </c>
      <c r="F29" s="280">
        <v>811104</v>
      </c>
      <c r="G29">
        <v>482</v>
      </c>
      <c r="H29">
        <f>0.78+2.92</f>
        <v>3.7</v>
      </c>
      <c r="I29">
        <f t="shared" si="1"/>
        <v>610</v>
      </c>
      <c r="J29">
        <f t="shared" si="2"/>
        <v>4.9400000000000004</v>
      </c>
      <c r="K29">
        <v>24</v>
      </c>
    </row>
    <row r="30" spans="1:11" x14ac:dyDescent="0.3">
      <c r="A30" s="278">
        <v>45170</v>
      </c>
      <c r="B30">
        <v>153</v>
      </c>
      <c r="C30">
        <v>1.1200000000000001</v>
      </c>
      <c r="D30">
        <v>0.31</v>
      </c>
      <c r="E30">
        <f t="shared" ref="E30:E40" si="4">SUM(C30:D30)</f>
        <v>1.4300000000000002</v>
      </c>
      <c r="F30" s="280">
        <v>952799</v>
      </c>
      <c r="G30">
        <f>385+120</f>
        <v>505</v>
      </c>
      <c r="H30">
        <f>2.97+0.88</f>
        <v>3.85</v>
      </c>
      <c r="I30">
        <f t="shared" si="1"/>
        <v>658</v>
      </c>
      <c r="J30">
        <f t="shared" ref="J30" si="5">SUM(E30,H30)</f>
        <v>5.28</v>
      </c>
      <c r="K30">
        <v>13</v>
      </c>
    </row>
    <row r="31" spans="1:11" x14ac:dyDescent="0.3">
      <c r="A31" s="278">
        <v>45200</v>
      </c>
      <c r="B31">
        <v>170</v>
      </c>
      <c r="C31">
        <v>1.24</v>
      </c>
      <c r="D31">
        <v>0.34</v>
      </c>
      <c r="E31">
        <f t="shared" si="4"/>
        <v>1.58</v>
      </c>
      <c r="F31" s="280">
        <v>1057179</v>
      </c>
      <c r="G31">
        <f>398+201</f>
        <v>599</v>
      </c>
      <c r="H31">
        <f>1.48+3.03</f>
        <v>4.51</v>
      </c>
      <c r="I31">
        <f t="shared" ref="I31" si="6">SUM(G31,B31)</f>
        <v>769</v>
      </c>
      <c r="J31">
        <f t="shared" ref="J31" si="7">SUM(E31,H31)</f>
        <v>6.09</v>
      </c>
      <c r="K31">
        <v>25</v>
      </c>
    </row>
    <row r="32" spans="1:11" x14ac:dyDescent="0.3">
      <c r="A32" s="278">
        <v>45231</v>
      </c>
      <c r="B32">
        <v>199</v>
      </c>
      <c r="C32">
        <v>1.47</v>
      </c>
      <c r="D32">
        <v>0.41</v>
      </c>
      <c r="E32">
        <f t="shared" si="4"/>
        <v>1.88</v>
      </c>
      <c r="F32" s="280">
        <v>1251251</v>
      </c>
      <c r="G32">
        <f>262+380</f>
        <v>642</v>
      </c>
      <c r="H32">
        <f>2.81+1.86</f>
        <v>4.67</v>
      </c>
      <c r="I32">
        <f t="shared" ref="I32" si="8">SUM(G32,B32)</f>
        <v>841</v>
      </c>
      <c r="J32">
        <f t="shared" ref="J32" si="9">SUM(E32,H32)</f>
        <v>6.55</v>
      </c>
      <c r="K32">
        <v>26</v>
      </c>
    </row>
    <row r="33" spans="1:11" x14ac:dyDescent="0.3">
      <c r="A33" s="278">
        <v>45261</v>
      </c>
      <c r="B33">
        <v>258</v>
      </c>
      <c r="C33">
        <v>1.82</v>
      </c>
      <c r="D33">
        <v>0.5</v>
      </c>
      <c r="E33">
        <f t="shared" si="4"/>
        <v>2.3200000000000003</v>
      </c>
      <c r="F33" s="280">
        <v>1545598</v>
      </c>
      <c r="G33">
        <f>268+364</f>
        <v>632</v>
      </c>
      <c r="H33">
        <f>2.04+2.63</f>
        <v>4.67</v>
      </c>
      <c r="I33">
        <f t="shared" ref="I33" si="10">SUM(G33,B33)</f>
        <v>890</v>
      </c>
      <c r="J33">
        <f t="shared" ref="J33" si="11">SUM(E33,H33)</f>
        <v>6.99</v>
      </c>
      <c r="K33">
        <v>3</v>
      </c>
    </row>
    <row r="34" spans="1:11" x14ac:dyDescent="0.3">
      <c r="A34" s="278">
        <v>45292</v>
      </c>
      <c r="B34">
        <v>308</v>
      </c>
      <c r="C34">
        <v>2.97</v>
      </c>
      <c r="D34">
        <v>0.57999999999999996</v>
      </c>
      <c r="E34">
        <f t="shared" si="4"/>
        <v>3.5500000000000003</v>
      </c>
      <c r="F34" s="280">
        <v>1866796</v>
      </c>
      <c r="G34">
        <f>381+281</f>
        <v>662</v>
      </c>
      <c r="H34">
        <f>2.75+2.09</f>
        <v>4.84</v>
      </c>
      <c r="I34">
        <f t="shared" ref="I34" si="12">SUM(G34,B34)</f>
        <v>970</v>
      </c>
      <c r="J34">
        <f t="shared" ref="J34" si="13">SUM(E34,H34)</f>
        <v>8.39</v>
      </c>
      <c r="K34">
        <v>6</v>
      </c>
    </row>
    <row r="35" spans="1:11" x14ac:dyDescent="0.3">
      <c r="A35" s="278">
        <v>45323</v>
      </c>
      <c r="B35">
        <v>411</v>
      </c>
      <c r="C35">
        <v>2.96</v>
      </c>
      <c r="D35">
        <v>0.74</v>
      </c>
      <c r="E35">
        <f t="shared" si="4"/>
        <v>3.7</v>
      </c>
      <c r="F35" s="280">
        <v>2512566</v>
      </c>
      <c r="G35">
        <f>238+405</f>
        <v>643</v>
      </c>
      <c r="H35">
        <f>2.96+1.7</f>
        <v>4.66</v>
      </c>
      <c r="I35">
        <f t="shared" ref="I35" si="14">SUM(G35,B35)</f>
        <v>1054</v>
      </c>
      <c r="J35">
        <f t="shared" ref="J35" si="15">SUM(E35,H35)</f>
        <v>8.36</v>
      </c>
      <c r="K35">
        <v>6</v>
      </c>
    </row>
    <row r="36" spans="1:11" x14ac:dyDescent="0.3">
      <c r="A36" s="278">
        <v>45352</v>
      </c>
      <c r="B36">
        <v>481</v>
      </c>
      <c r="C36">
        <v>3.44</v>
      </c>
      <c r="D36">
        <v>0.86</v>
      </c>
      <c r="E36">
        <f t="shared" si="4"/>
        <v>4.3</v>
      </c>
      <c r="F36" s="280">
        <v>2920668</v>
      </c>
      <c r="G36">
        <f>407+224</f>
        <v>631</v>
      </c>
      <c r="H36">
        <f>2.94+1.57</f>
        <v>4.51</v>
      </c>
      <c r="I36">
        <f t="shared" ref="I36" si="16">SUM(G36,B36)</f>
        <v>1112</v>
      </c>
      <c r="J36">
        <f t="shared" ref="J36" si="17">SUM(E36,H36)</f>
        <v>8.8099999999999987</v>
      </c>
      <c r="K36">
        <v>9</v>
      </c>
    </row>
    <row r="37" spans="1:11" x14ac:dyDescent="0.3">
      <c r="A37" s="278">
        <v>45383</v>
      </c>
      <c r="B37">
        <v>526</v>
      </c>
      <c r="C37">
        <v>3.74</v>
      </c>
      <c r="D37">
        <v>0.95</v>
      </c>
      <c r="E37">
        <f t="shared" si="4"/>
        <v>4.6900000000000004</v>
      </c>
      <c r="F37" s="280">
        <v>3177419</v>
      </c>
      <c r="G37">
        <f>236+397</f>
        <v>633</v>
      </c>
      <c r="H37">
        <f>2.89+1.63</f>
        <v>4.5199999999999996</v>
      </c>
      <c r="I37">
        <f t="shared" ref="I37:I40" si="18">SUM(G37,B37)</f>
        <v>1159</v>
      </c>
      <c r="J37">
        <f t="shared" ref="J37:J40" si="19">SUM(E37,H37)</f>
        <v>9.2100000000000009</v>
      </c>
      <c r="K37">
        <v>4</v>
      </c>
    </row>
    <row r="38" spans="1:11" x14ac:dyDescent="0.3">
      <c r="A38" s="278">
        <v>45413</v>
      </c>
      <c r="B38">
        <v>607</v>
      </c>
      <c r="C38">
        <v>4.28</v>
      </c>
      <c r="D38">
        <v>1.1599999999999999</v>
      </c>
      <c r="E38">
        <f t="shared" si="4"/>
        <v>5.44</v>
      </c>
      <c r="F38" s="280">
        <v>3637796</v>
      </c>
      <c r="G38">
        <f>215+420</f>
        <v>635</v>
      </c>
      <c r="H38">
        <f>3.73+1.56</f>
        <v>5.29</v>
      </c>
      <c r="I38">
        <f t="shared" si="18"/>
        <v>1242</v>
      </c>
      <c r="J38">
        <f t="shared" si="19"/>
        <v>10.73</v>
      </c>
      <c r="K38">
        <v>12</v>
      </c>
    </row>
    <row r="39" spans="1:11" x14ac:dyDescent="0.3">
      <c r="A39" s="278">
        <v>45444</v>
      </c>
      <c r="B39">
        <v>625</v>
      </c>
      <c r="C39">
        <v>4.46</v>
      </c>
      <c r="D39">
        <v>1.55</v>
      </c>
      <c r="E39">
        <f t="shared" si="4"/>
        <v>6.01</v>
      </c>
      <c r="F39" s="280">
        <v>3789861</v>
      </c>
      <c r="G39">
        <f>221+447</f>
        <v>668</v>
      </c>
      <c r="H39">
        <f>3.89+1.55</f>
        <v>5.44</v>
      </c>
      <c r="I39">
        <f t="shared" si="18"/>
        <v>1293</v>
      </c>
      <c r="J39">
        <f t="shared" si="19"/>
        <v>11.45</v>
      </c>
      <c r="K39">
        <v>3</v>
      </c>
    </row>
    <row r="40" spans="1:11" x14ac:dyDescent="0.3">
      <c r="A40" s="278">
        <v>45474</v>
      </c>
      <c r="B40">
        <v>665</v>
      </c>
      <c r="C40">
        <v>4.7300000000000004</v>
      </c>
      <c r="D40">
        <v>1.32</v>
      </c>
      <c r="E40">
        <f t="shared" si="4"/>
        <v>6.0500000000000007</v>
      </c>
      <c r="F40" s="280">
        <v>4017576</v>
      </c>
      <c r="G40">
        <f>427+254</f>
        <v>681</v>
      </c>
      <c r="H40">
        <f>3.78+1.76</f>
        <v>5.54</v>
      </c>
      <c r="I40">
        <f t="shared" si="18"/>
        <v>1346</v>
      </c>
      <c r="J40">
        <f t="shared" si="19"/>
        <v>11.59</v>
      </c>
      <c r="K40">
        <v>0</v>
      </c>
    </row>
  </sheetData>
  <mergeCells count="4">
    <mergeCell ref="A1:K1"/>
    <mergeCell ref="A2:A3"/>
    <mergeCell ref="B2:E2"/>
    <mergeCell ref="G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922CA-35B3-4759-BF89-A6B3BA4078A8}">
  <dimension ref="A1:K40"/>
  <sheetViews>
    <sheetView zoomScale="85" zoomScaleNormal="85" workbookViewId="0">
      <pane ySplit="3" topLeftCell="A13" activePane="bottomLeft" state="frozen"/>
      <selection activeCell="H39" sqref="H39"/>
      <selection pane="bottomLeft" activeCell="K41" sqref="K41"/>
    </sheetView>
  </sheetViews>
  <sheetFormatPr defaultColWidth="8.625" defaultRowHeight="16.5" x14ac:dyDescent="0.3"/>
  <cols>
    <col min="1" max="1" width="9.75" bestFit="1" customWidth="1"/>
    <col min="2" max="2" width="15" bestFit="1" customWidth="1"/>
    <col min="3" max="5" width="14.375" customWidth="1"/>
    <col min="6" max="6" width="15.875" customWidth="1"/>
    <col min="7" max="7" width="16.375" customWidth="1"/>
    <col min="8" max="8" width="15.375" bestFit="1" customWidth="1"/>
    <col min="9" max="10" width="15.375" customWidth="1"/>
    <col min="11" max="11" width="10.625" customWidth="1"/>
    <col min="12" max="12" width="16.625" bestFit="1" customWidth="1"/>
  </cols>
  <sheetData>
    <row r="1" spans="1:11" ht="26.45" customHeight="1" x14ac:dyDescent="0.3">
      <c r="A1" s="283" t="s">
        <v>586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29.1" customHeight="1" x14ac:dyDescent="0.3">
      <c r="A2" s="285" t="s">
        <v>589</v>
      </c>
      <c r="B2" s="285" t="s">
        <v>600</v>
      </c>
      <c r="C2" s="285"/>
      <c r="D2" s="285"/>
      <c r="E2" s="285"/>
      <c r="F2" s="277" t="s">
        <v>601</v>
      </c>
      <c r="G2" s="285" t="s">
        <v>602</v>
      </c>
      <c r="H2" s="285"/>
      <c r="I2" s="277" t="s">
        <v>598</v>
      </c>
      <c r="J2" s="277" t="s">
        <v>599</v>
      </c>
      <c r="K2" s="277" t="s">
        <v>603</v>
      </c>
    </row>
    <row r="3" spans="1:11" ht="49.5" x14ac:dyDescent="0.3">
      <c r="A3" s="285"/>
      <c r="B3" s="277" t="s">
        <v>604</v>
      </c>
      <c r="C3" s="277" t="s">
        <v>605</v>
      </c>
      <c r="D3" s="277" t="s">
        <v>606</v>
      </c>
      <c r="E3" s="277" t="s">
        <v>607</v>
      </c>
      <c r="F3" s="277" t="s">
        <v>608</v>
      </c>
      <c r="G3" s="277" t="s">
        <v>604</v>
      </c>
      <c r="H3" s="277" t="s">
        <v>609</v>
      </c>
      <c r="I3" s="277" t="s">
        <v>604</v>
      </c>
      <c r="J3" s="277" t="s">
        <v>609</v>
      </c>
      <c r="K3" s="277" t="s">
        <v>604</v>
      </c>
    </row>
    <row r="4" spans="1:11" x14ac:dyDescent="0.3">
      <c r="A4" s="278">
        <v>44378</v>
      </c>
      <c r="B4">
        <v>0</v>
      </c>
      <c r="C4">
        <v>0</v>
      </c>
      <c r="D4">
        <v>0</v>
      </c>
      <c r="E4">
        <f t="shared" ref="E4:E29" si="0">SUM(C4:D4)</f>
        <v>0</v>
      </c>
      <c r="F4" s="280">
        <v>0</v>
      </c>
      <c r="G4">
        <v>0</v>
      </c>
      <c r="H4">
        <v>0</v>
      </c>
      <c r="I4">
        <f t="shared" ref="I4:I27" si="1">SUM(G4,B4)</f>
        <v>0</v>
      </c>
      <c r="J4">
        <f t="shared" ref="J4:J27" si="2">SUM(H4,E4)</f>
        <v>0</v>
      </c>
      <c r="K4">
        <v>2</v>
      </c>
    </row>
    <row r="5" spans="1:11" x14ac:dyDescent="0.3">
      <c r="A5" s="278">
        <v>44409</v>
      </c>
      <c r="B5">
        <v>0</v>
      </c>
      <c r="C5">
        <v>0</v>
      </c>
      <c r="D5">
        <v>0</v>
      </c>
      <c r="E5">
        <f t="shared" si="0"/>
        <v>0</v>
      </c>
      <c r="F5" s="280">
        <v>0</v>
      </c>
      <c r="G5">
        <v>31</v>
      </c>
      <c r="H5">
        <v>0.16</v>
      </c>
      <c r="I5">
        <f t="shared" si="1"/>
        <v>31</v>
      </c>
      <c r="J5">
        <f t="shared" si="2"/>
        <v>0.16</v>
      </c>
      <c r="K5">
        <v>25</v>
      </c>
    </row>
    <row r="6" spans="1:11" x14ac:dyDescent="0.3">
      <c r="A6" s="278">
        <v>44440</v>
      </c>
      <c r="B6">
        <v>0</v>
      </c>
      <c r="C6">
        <v>0</v>
      </c>
      <c r="D6">
        <v>0</v>
      </c>
      <c r="E6">
        <f t="shared" si="0"/>
        <v>0</v>
      </c>
      <c r="F6" s="280">
        <v>0</v>
      </c>
      <c r="G6">
        <v>149</v>
      </c>
      <c r="H6">
        <v>0.77</v>
      </c>
      <c r="I6">
        <f t="shared" si="1"/>
        <v>149</v>
      </c>
      <c r="J6">
        <f t="shared" si="2"/>
        <v>0.77</v>
      </c>
      <c r="K6">
        <v>24</v>
      </c>
    </row>
    <row r="7" spans="1:11" x14ac:dyDescent="0.3">
      <c r="A7" s="278">
        <v>44470</v>
      </c>
      <c r="B7">
        <v>0</v>
      </c>
      <c r="C7">
        <v>0</v>
      </c>
      <c r="D7">
        <v>0</v>
      </c>
      <c r="E7">
        <f t="shared" si="0"/>
        <v>0</v>
      </c>
      <c r="F7" s="280">
        <v>0</v>
      </c>
      <c r="G7">
        <v>280</v>
      </c>
      <c r="H7">
        <v>1.5</v>
      </c>
      <c r="I7">
        <f t="shared" si="1"/>
        <v>280</v>
      </c>
      <c r="J7">
        <f t="shared" si="2"/>
        <v>1.5</v>
      </c>
      <c r="K7">
        <v>35</v>
      </c>
    </row>
    <row r="8" spans="1:11" x14ac:dyDescent="0.3">
      <c r="A8" s="278">
        <v>44501</v>
      </c>
      <c r="B8">
        <v>0</v>
      </c>
      <c r="C8">
        <v>0</v>
      </c>
      <c r="D8">
        <v>0</v>
      </c>
      <c r="E8">
        <f t="shared" si="0"/>
        <v>0</v>
      </c>
      <c r="F8" s="280">
        <v>0</v>
      </c>
      <c r="G8">
        <f>409+53</f>
        <v>462</v>
      </c>
      <c r="H8">
        <f>2.35+0.36</f>
        <v>2.71</v>
      </c>
      <c r="I8">
        <f t="shared" si="1"/>
        <v>462</v>
      </c>
      <c r="J8">
        <f t="shared" si="2"/>
        <v>2.71</v>
      </c>
      <c r="K8">
        <v>27</v>
      </c>
    </row>
    <row r="9" spans="1:11" x14ac:dyDescent="0.3">
      <c r="A9" s="278">
        <v>44531</v>
      </c>
      <c r="B9">
        <v>28</v>
      </c>
      <c r="C9">
        <v>0.14000000000000001</v>
      </c>
      <c r="D9">
        <v>6.9000000000000006E-2</v>
      </c>
      <c r="E9">
        <f t="shared" si="0"/>
        <v>0.20900000000000002</v>
      </c>
      <c r="F9" s="280">
        <v>118150</v>
      </c>
      <c r="G9">
        <f>506+60</f>
        <v>566</v>
      </c>
      <c r="H9">
        <f>2.96+0.37</f>
        <v>3.33</v>
      </c>
      <c r="I9">
        <f t="shared" si="1"/>
        <v>594</v>
      </c>
      <c r="J9">
        <f t="shared" si="2"/>
        <v>3.5390000000000001</v>
      </c>
      <c r="K9">
        <v>41</v>
      </c>
    </row>
    <row r="10" spans="1:11" x14ac:dyDescent="0.3">
      <c r="A10" s="278">
        <v>44562</v>
      </c>
      <c r="B10">
        <v>62</v>
      </c>
      <c r="C10">
        <v>0.308</v>
      </c>
      <c r="D10">
        <v>0.17299999999999999</v>
      </c>
      <c r="E10">
        <f t="shared" si="0"/>
        <v>0.48099999999999998</v>
      </c>
      <c r="F10" s="280">
        <v>261800</v>
      </c>
      <c r="G10">
        <f>554+110</f>
        <v>664</v>
      </c>
      <c r="H10">
        <f>3.36+0.589</f>
        <v>3.9489999999999998</v>
      </c>
      <c r="I10">
        <f t="shared" si="1"/>
        <v>726</v>
      </c>
      <c r="J10">
        <f t="shared" si="2"/>
        <v>4.43</v>
      </c>
      <c r="K10">
        <v>39</v>
      </c>
    </row>
    <row r="11" spans="1:11" x14ac:dyDescent="0.3">
      <c r="A11" s="278">
        <v>44593</v>
      </c>
      <c r="B11">
        <v>114</v>
      </c>
      <c r="C11">
        <v>0.59099999999999997</v>
      </c>
      <c r="D11">
        <v>0.60199999999999998</v>
      </c>
      <c r="E11">
        <f t="shared" si="0"/>
        <v>1.1930000000000001</v>
      </c>
      <c r="F11" s="280">
        <v>502554</v>
      </c>
      <c r="G11">
        <f>532+121</f>
        <v>653</v>
      </c>
      <c r="H11">
        <f>0.598+3.32</f>
        <v>3.9179999999999997</v>
      </c>
      <c r="I11">
        <f t="shared" si="1"/>
        <v>767</v>
      </c>
      <c r="J11">
        <f t="shared" si="2"/>
        <v>5.1109999999999998</v>
      </c>
      <c r="K11">
        <v>63</v>
      </c>
    </row>
    <row r="12" spans="1:11" x14ac:dyDescent="0.3">
      <c r="A12" s="278">
        <v>44621</v>
      </c>
      <c r="B12">
        <v>178</v>
      </c>
      <c r="C12">
        <v>0.89</v>
      </c>
      <c r="D12">
        <v>0.8</v>
      </c>
      <c r="E12">
        <f t="shared" si="0"/>
        <v>1.69</v>
      </c>
      <c r="F12" s="280">
        <v>756815</v>
      </c>
      <c r="G12">
        <f>580+129</f>
        <v>709</v>
      </c>
      <c r="H12">
        <f>0.71+3.52</f>
        <v>4.2300000000000004</v>
      </c>
      <c r="I12">
        <f t="shared" si="1"/>
        <v>887</v>
      </c>
      <c r="J12">
        <f t="shared" si="2"/>
        <v>5.92</v>
      </c>
      <c r="K12">
        <v>57</v>
      </c>
    </row>
    <row r="13" spans="1:11" x14ac:dyDescent="0.3">
      <c r="A13" s="278">
        <v>44652</v>
      </c>
      <c r="B13">
        <v>235</v>
      </c>
      <c r="C13">
        <v>1.19</v>
      </c>
      <c r="D13">
        <v>0.99</v>
      </c>
      <c r="E13">
        <f t="shared" si="0"/>
        <v>2.1799999999999997</v>
      </c>
      <c r="F13" s="280">
        <v>1014263</v>
      </c>
      <c r="G13">
        <f>530+228</f>
        <v>758</v>
      </c>
      <c r="H13">
        <f>3.16+1.38</f>
        <v>4.54</v>
      </c>
      <c r="I13">
        <f t="shared" si="1"/>
        <v>993</v>
      </c>
      <c r="J13">
        <f t="shared" si="2"/>
        <v>6.72</v>
      </c>
      <c r="K13">
        <v>70</v>
      </c>
    </row>
    <row r="14" spans="1:11" x14ac:dyDescent="0.3">
      <c r="A14" s="278">
        <v>44682</v>
      </c>
      <c r="B14">
        <v>303</v>
      </c>
      <c r="C14">
        <v>1.64</v>
      </c>
      <c r="D14">
        <v>1.24</v>
      </c>
      <c r="E14">
        <f t="shared" si="0"/>
        <v>2.88</v>
      </c>
      <c r="F14" s="280">
        <v>1395029</v>
      </c>
      <c r="G14">
        <f>622+241</f>
        <v>863</v>
      </c>
      <c r="H14">
        <f>3.69+1.45</f>
        <v>5.14</v>
      </c>
      <c r="I14">
        <f t="shared" si="1"/>
        <v>1166</v>
      </c>
      <c r="J14">
        <f t="shared" si="2"/>
        <v>8.02</v>
      </c>
      <c r="K14">
        <v>48</v>
      </c>
    </row>
    <row r="15" spans="1:11" x14ac:dyDescent="0.3">
      <c r="A15" s="278">
        <v>44713</v>
      </c>
      <c r="B15">
        <v>390</v>
      </c>
      <c r="C15">
        <v>2.19</v>
      </c>
      <c r="D15">
        <v>1.52</v>
      </c>
      <c r="E15">
        <f t="shared" si="0"/>
        <v>3.71</v>
      </c>
      <c r="F15" s="280">
        <v>1864535</v>
      </c>
      <c r="G15">
        <f>685+200</f>
        <v>885</v>
      </c>
      <c r="H15">
        <f>4.17+1.14</f>
        <v>5.31</v>
      </c>
      <c r="I15">
        <f t="shared" si="1"/>
        <v>1275</v>
      </c>
      <c r="J15">
        <f t="shared" si="2"/>
        <v>9.02</v>
      </c>
      <c r="K15">
        <v>31</v>
      </c>
    </row>
    <row r="16" spans="1:11" x14ac:dyDescent="0.3">
      <c r="A16" s="278">
        <v>44743</v>
      </c>
      <c r="B16">
        <v>464</v>
      </c>
      <c r="C16">
        <v>2.69</v>
      </c>
      <c r="D16">
        <v>1.76</v>
      </c>
      <c r="E16">
        <f t="shared" si="0"/>
        <v>4.45</v>
      </c>
      <c r="F16" s="280">
        <v>2277550</v>
      </c>
      <c r="G16">
        <f>732+224</f>
        <v>956</v>
      </c>
      <c r="H16">
        <f>4.41+1.31</f>
        <v>5.7200000000000006</v>
      </c>
      <c r="I16">
        <f t="shared" si="1"/>
        <v>1420</v>
      </c>
      <c r="J16">
        <f t="shared" si="2"/>
        <v>10.170000000000002</v>
      </c>
      <c r="K16">
        <v>57</v>
      </c>
    </row>
    <row r="17" spans="1:11" x14ac:dyDescent="0.3">
      <c r="A17" s="278">
        <v>44774</v>
      </c>
      <c r="B17">
        <v>586</v>
      </c>
      <c r="C17">
        <v>3.48</v>
      </c>
      <c r="D17">
        <v>1.93</v>
      </c>
      <c r="E17">
        <f t="shared" si="0"/>
        <v>5.41</v>
      </c>
      <c r="F17" s="280">
        <v>2960814</v>
      </c>
      <c r="G17">
        <f>224+864</f>
        <v>1088</v>
      </c>
      <c r="H17">
        <f>5.31+1.22</f>
        <v>6.5299999999999994</v>
      </c>
      <c r="I17">
        <f t="shared" si="1"/>
        <v>1674</v>
      </c>
      <c r="J17">
        <f t="shared" si="2"/>
        <v>11.94</v>
      </c>
      <c r="K17">
        <v>58</v>
      </c>
    </row>
    <row r="18" spans="1:11" x14ac:dyDescent="0.3">
      <c r="A18" s="278">
        <v>44805</v>
      </c>
      <c r="B18">
        <v>651</v>
      </c>
      <c r="C18">
        <v>3.89</v>
      </c>
      <c r="D18">
        <v>2.15</v>
      </c>
      <c r="E18">
        <f t="shared" si="0"/>
        <v>6.04</v>
      </c>
      <c r="F18" s="280">
        <v>3304214</v>
      </c>
      <c r="G18">
        <f>884+278</f>
        <v>1162</v>
      </c>
      <c r="H18">
        <f>5.45+1.59</f>
        <v>7.04</v>
      </c>
      <c r="I18">
        <f t="shared" si="1"/>
        <v>1813</v>
      </c>
      <c r="J18">
        <f t="shared" si="2"/>
        <v>13.08</v>
      </c>
      <c r="K18">
        <v>46</v>
      </c>
    </row>
    <row r="19" spans="1:11" x14ac:dyDescent="0.3">
      <c r="A19" s="278">
        <v>44835</v>
      </c>
      <c r="B19">
        <v>686</v>
      </c>
      <c r="C19">
        <v>4.08</v>
      </c>
      <c r="D19">
        <v>2.27</v>
      </c>
      <c r="E19">
        <f t="shared" si="0"/>
        <v>6.35</v>
      </c>
      <c r="F19" s="280">
        <v>3468009</v>
      </c>
      <c r="G19">
        <f>898+388</f>
        <v>1286</v>
      </c>
      <c r="H19">
        <f>2.32+4.08</f>
        <v>6.4</v>
      </c>
      <c r="I19">
        <f t="shared" si="1"/>
        <v>1972</v>
      </c>
      <c r="J19">
        <f t="shared" si="2"/>
        <v>12.75</v>
      </c>
      <c r="K19">
        <v>56</v>
      </c>
    </row>
    <row r="20" spans="1:11" x14ac:dyDescent="0.3">
      <c r="A20" s="278">
        <v>44866</v>
      </c>
      <c r="B20">
        <v>822</v>
      </c>
      <c r="C20">
        <v>4.92</v>
      </c>
      <c r="D20">
        <v>2.65</v>
      </c>
      <c r="E20">
        <f t="shared" si="0"/>
        <v>7.57</v>
      </c>
      <c r="F20" s="280">
        <v>4185426</v>
      </c>
      <c r="G20">
        <f>1037+371</f>
        <v>1408</v>
      </c>
      <c r="H20">
        <f>6.56+2.24</f>
        <v>8.8000000000000007</v>
      </c>
      <c r="I20">
        <f t="shared" si="1"/>
        <v>2230</v>
      </c>
      <c r="J20">
        <f t="shared" si="2"/>
        <v>16.37</v>
      </c>
      <c r="K20">
        <v>44</v>
      </c>
    </row>
    <row r="21" spans="1:11" x14ac:dyDescent="0.3">
      <c r="A21" s="278">
        <v>44896</v>
      </c>
      <c r="B21">
        <v>942</v>
      </c>
      <c r="C21">
        <v>5.79</v>
      </c>
      <c r="D21">
        <v>3.3</v>
      </c>
      <c r="E21">
        <f t="shared" si="0"/>
        <v>9.09</v>
      </c>
      <c r="F21" s="280">
        <v>4925374</v>
      </c>
      <c r="G21">
        <f>1039+425</f>
        <v>1464</v>
      </c>
      <c r="H21">
        <f>6.95+2.35</f>
        <v>9.3000000000000007</v>
      </c>
      <c r="I21">
        <f t="shared" si="1"/>
        <v>2406</v>
      </c>
      <c r="J21">
        <f t="shared" si="2"/>
        <v>18.39</v>
      </c>
      <c r="K21">
        <v>49</v>
      </c>
    </row>
    <row r="22" spans="1:11" x14ac:dyDescent="0.3">
      <c r="A22" s="278">
        <v>44927</v>
      </c>
      <c r="B22">
        <v>1037</v>
      </c>
      <c r="C22">
        <v>6.35</v>
      </c>
      <c r="D22">
        <v>3.66</v>
      </c>
      <c r="E22">
        <f t="shared" si="0"/>
        <v>10.01</v>
      </c>
      <c r="F22" s="280">
        <v>5400943</v>
      </c>
      <c r="G22">
        <f>1116+481</f>
        <v>1597</v>
      </c>
      <c r="H22">
        <f>7.73+2.71</f>
        <v>10.440000000000001</v>
      </c>
      <c r="I22">
        <f t="shared" si="1"/>
        <v>2634</v>
      </c>
      <c r="J22">
        <f t="shared" si="2"/>
        <v>20.450000000000003</v>
      </c>
      <c r="K22">
        <v>50</v>
      </c>
    </row>
    <row r="23" spans="1:11" x14ac:dyDescent="0.3">
      <c r="A23" s="278">
        <v>44958</v>
      </c>
      <c r="B23">
        <v>1152</v>
      </c>
      <c r="C23">
        <v>7.06</v>
      </c>
      <c r="D23">
        <v>4.12</v>
      </c>
      <c r="E23">
        <f t="shared" si="0"/>
        <v>11.18</v>
      </c>
      <c r="F23" s="280">
        <v>6000856</v>
      </c>
      <c r="G23">
        <f>1190+514</f>
        <v>1704</v>
      </c>
      <c r="H23">
        <f>8.65+2.95</f>
        <v>11.600000000000001</v>
      </c>
      <c r="I23">
        <f t="shared" si="1"/>
        <v>2856</v>
      </c>
      <c r="J23">
        <f t="shared" si="2"/>
        <v>22.78</v>
      </c>
      <c r="K23">
        <v>57</v>
      </c>
    </row>
    <row r="24" spans="1:11" x14ac:dyDescent="0.3">
      <c r="A24" s="278">
        <v>44986</v>
      </c>
      <c r="B24">
        <v>1262</v>
      </c>
      <c r="C24">
        <v>7.65</v>
      </c>
      <c r="D24">
        <v>4.49</v>
      </c>
      <c r="E24">
        <f t="shared" si="0"/>
        <v>12.14</v>
      </c>
      <c r="F24" s="280">
        <v>6501500</v>
      </c>
      <c r="G24">
        <f>1272+607</f>
        <v>1879</v>
      </c>
      <c r="H24">
        <f>9.4+3.74</f>
        <v>13.14</v>
      </c>
      <c r="I24">
        <f t="shared" si="1"/>
        <v>3141</v>
      </c>
      <c r="J24">
        <f t="shared" si="2"/>
        <v>25.28</v>
      </c>
      <c r="K24">
        <v>69</v>
      </c>
    </row>
    <row r="25" spans="1:11" x14ac:dyDescent="0.3">
      <c r="A25" s="278">
        <v>45017</v>
      </c>
      <c r="B25">
        <v>1550</v>
      </c>
      <c r="C25">
        <v>9.4</v>
      </c>
      <c r="D25">
        <v>5.34</v>
      </c>
      <c r="E25">
        <f t="shared" si="0"/>
        <v>14.74</v>
      </c>
      <c r="F25" s="280">
        <v>7990714</v>
      </c>
      <c r="G25">
        <f>1381+491</f>
        <v>1872</v>
      </c>
      <c r="H25">
        <f>10.2+3.23</f>
        <v>13.43</v>
      </c>
      <c r="I25">
        <f t="shared" si="1"/>
        <v>3422</v>
      </c>
      <c r="J25">
        <f t="shared" si="2"/>
        <v>28.17</v>
      </c>
      <c r="K25">
        <v>57</v>
      </c>
    </row>
    <row r="26" spans="1:11" x14ac:dyDescent="0.3">
      <c r="A26" s="278">
        <v>45069</v>
      </c>
      <c r="B26">
        <v>1725</v>
      </c>
      <c r="C26">
        <v>10.68</v>
      </c>
      <c r="D26">
        <v>6.02</v>
      </c>
      <c r="E26">
        <f t="shared" si="0"/>
        <v>16.7</v>
      </c>
      <c r="F26" s="280">
        <v>9075858</v>
      </c>
      <c r="G26">
        <v>1972</v>
      </c>
      <c r="H26">
        <v>13.96</v>
      </c>
      <c r="I26">
        <f t="shared" si="1"/>
        <v>3697</v>
      </c>
      <c r="J26">
        <f t="shared" si="2"/>
        <v>30.66</v>
      </c>
      <c r="K26">
        <v>43</v>
      </c>
    </row>
    <row r="27" spans="1:11" x14ac:dyDescent="0.3">
      <c r="A27" s="278">
        <v>45100</v>
      </c>
      <c r="B27">
        <v>1872</v>
      </c>
      <c r="C27">
        <v>11.67</v>
      </c>
      <c r="D27">
        <v>6.52</v>
      </c>
      <c r="E27">
        <f t="shared" si="0"/>
        <v>18.189999999999998</v>
      </c>
      <c r="F27" s="280">
        <v>9915683</v>
      </c>
      <c r="G27">
        <f>1542+513</f>
        <v>2055</v>
      </c>
      <c r="H27">
        <f>11.36+3.45</f>
        <v>14.809999999999999</v>
      </c>
      <c r="I27">
        <f t="shared" si="1"/>
        <v>3927</v>
      </c>
      <c r="J27">
        <f t="shared" si="2"/>
        <v>33</v>
      </c>
      <c r="K27">
        <v>27</v>
      </c>
    </row>
    <row r="28" spans="1:11" x14ac:dyDescent="0.3">
      <c r="A28" s="278">
        <v>45108</v>
      </c>
      <c r="B28">
        <v>1924</v>
      </c>
      <c r="C28">
        <v>12.06</v>
      </c>
      <c r="D28">
        <v>6.74</v>
      </c>
      <c r="E28">
        <f t="shared" si="0"/>
        <v>18.8</v>
      </c>
      <c r="F28" s="280">
        <v>10254425</v>
      </c>
      <c r="G28">
        <f>1515+666</f>
        <v>2181</v>
      </c>
      <c r="H28">
        <f>11.12+4.55</f>
        <v>15.669999999999998</v>
      </c>
      <c r="I28">
        <f t="shared" ref="I28:I29" si="3">SUM(G28,B28)</f>
        <v>4105</v>
      </c>
      <c r="J28">
        <f t="shared" ref="J28:J29" si="4">SUM(H28,E28)</f>
        <v>34.47</v>
      </c>
      <c r="K28">
        <v>37</v>
      </c>
    </row>
    <row r="29" spans="1:11" x14ac:dyDescent="0.3">
      <c r="A29" s="278">
        <v>45139</v>
      </c>
      <c r="B29">
        <v>2131</v>
      </c>
      <c r="C29">
        <v>13.47</v>
      </c>
      <c r="D29">
        <v>7.39</v>
      </c>
      <c r="E29">
        <f t="shared" si="0"/>
        <v>20.86</v>
      </c>
      <c r="F29" s="280">
        <v>11451889</v>
      </c>
      <c r="G29">
        <f>1501+680</f>
        <v>2181</v>
      </c>
      <c r="H29">
        <f>11.16+4.54</f>
        <v>15.7</v>
      </c>
      <c r="I29">
        <f t="shared" si="3"/>
        <v>4312</v>
      </c>
      <c r="J29">
        <f t="shared" si="4"/>
        <v>36.56</v>
      </c>
      <c r="K29">
        <v>53</v>
      </c>
    </row>
    <row r="30" spans="1:11" x14ac:dyDescent="0.3">
      <c r="A30" s="278">
        <v>45170</v>
      </c>
      <c r="B30">
        <v>2339</v>
      </c>
      <c r="C30">
        <v>14.91</v>
      </c>
      <c r="D30">
        <v>8.02</v>
      </c>
      <c r="E30">
        <f t="shared" ref="E30:E35" si="5">SUM(C30:D30)</f>
        <v>22.93</v>
      </c>
      <c r="F30" s="280">
        <v>12671766</v>
      </c>
      <c r="G30">
        <f>733+1594</f>
        <v>2327</v>
      </c>
      <c r="H30">
        <f>11.74+4.82</f>
        <v>16.560000000000002</v>
      </c>
      <c r="I30">
        <f t="shared" ref="I30" si="6">SUM(G30,B30)</f>
        <v>4666</v>
      </c>
      <c r="J30">
        <f t="shared" ref="J30" si="7">SUM(H30,E30)</f>
        <v>39.49</v>
      </c>
      <c r="K30">
        <v>56</v>
      </c>
    </row>
    <row r="31" spans="1:11" x14ac:dyDescent="0.3">
      <c r="A31" s="278">
        <v>45200</v>
      </c>
      <c r="B31">
        <v>2477</v>
      </c>
      <c r="C31">
        <v>16.03</v>
      </c>
      <c r="D31">
        <v>8.4</v>
      </c>
      <c r="E31">
        <f t="shared" si="5"/>
        <v>24.43</v>
      </c>
      <c r="F31" s="280">
        <v>13623324</v>
      </c>
      <c r="G31">
        <f>1659+900</f>
        <v>2559</v>
      </c>
      <c r="H31">
        <f>12.28+5.6</f>
        <v>17.88</v>
      </c>
      <c r="I31">
        <f t="shared" ref="I31:I35" si="8">SUM(G31,B31)</f>
        <v>5036</v>
      </c>
      <c r="J31">
        <f t="shared" ref="J31:J35" si="9">SUM(H31,E31)</f>
        <v>42.31</v>
      </c>
      <c r="K31">
        <v>42</v>
      </c>
    </row>
    <row r="32" spans="1:11" x14ac:dyDescent="0.3">
      <c r="A32" s="278">
        <v>45231</v>
      </c>
      <c r="B32">
        <v>2724</v>
      </c>
      <c r="C32">
        <v>17.52</v>
      </c>
      <c r="D32">
        <v>9.18</v>
      </c>
      <c r="E32">
        <f t="shared" si="5"/>
        <v>26.7</v>
      </c>
      <c r="F32" s="282">
        <v>14895689</v>
      </c>
      <c r="G32" s="281">
        <f>1807+932</f>
        <v>2739</v>
      </c>
      <c r="H32">
        <f>15.62+6</f>
        <v>21.619999999999997</v>
      </c>
      <c r="I32">
        <f t="shared" si="8"/>
        <v>5463</v>
      </c>
      <c r="J32">
        <f t="shared" si="9"/>
        <v>48.319999999999993</v>
      </c>
      <c r="K32">
        <v>30</v>
      </c>
    </row>
    <row r="33" spans="1:11" x14ac:dyDescent="0.3">
      <c r="A33" s="278">
        <v>45261</v>
      </c>
      <c r="B33">
        <v>2968</v>
      </c>
      <c r="C33">
        <v>18.95</v>
      </c>
      <c r="D33">
        <v>9.8699999999999992</v>
      </c>
      <c r="E33">
        <f t="shared" si="5"/>
        <v>28.82</v>
      </c>
      <c r="F33" s="282">
        <v>16106633</v>
      </c>
      <c r="G33">
        <f>932+1825</f>
        <v>2757</v>
      </c>
      <c r="H33">
        <f>15.72+6.2</f>
        <v>21.92</v>
      </c>
      <c r="I33">
        <f t="shared" si="8"/>
        <v>5725</v>
      </c>
      <c r="J33">
        <f t="shared" si="9"/>
        <v>50.74</v>
      </c>
      <c r="K33">
        <v>34</v>
      </c>
    </row>
    <row r="34" spans="1:11" x14ac:dyDescent="0.3">
      <c r="A34" s="278">
        <v>45292</v>
      </c>
      <c r="B34">
        <v>3133</v>
      </c>
      <c r="C34">
        <v>20.18</v>
      </c>
      <c r="D34">
        <v>10.28</v>
      </c>
      <c r="E34">
        <f t="shared" si="5"/>
        <v>30.46</v>
      </c>
      <c r="F34" s="282">
        <v>17150909</v>
      </c>
      <c r="G34">
        <f>1938+1083</f>
        <v>3021</v>
      </c>
      <c r="H34">
        <f>16.96+7.01</f>
        <v>23.97</v>
      </c>
      <c r="I34">
        <f t="shared" si="8"/>
        <v>6154</v>
      </c>
      <c r="J34">
        <f t="shared" si="9"/>
        <v>54.43</v>
      </c>
      <c r="K34">
        <v>77</v>
      </c>
    </row>
    <row r="35" spans="1:11" x14ac:dyDescent="0.3">
      <c r="A35" s="278">
        <v>45323</v>
      </c>
      <c r="B35">
        <v>3495</v>
      </c>
      <c r="C35">
        <v>22.63</v>
      </c>
      <c r="D35">
        <v>11.41</v>
      </c>
      <c r="E35">
        <f t="shared" si="5"/>
        <v>34.04</v>
      </c>
      <c r="F35" s="282">
        <v>19231896</v>
      </c>
      <c r="G35">
        <f>1904+952</f>
        <v>2856</v>
      </c>
      <c r="H35">
        <f>18.05+6.15</f>
        <v>24.200000000000003</v>
      </c>
      <c r="I35">
        <f t="shared" si="8"/>
        <v>6351</v>
      </c>
      <c r="J35">
        <f t="shared" si="9"/>
        <v>58.24</v>
      </c>
      <c r="K35">
        <v>16</v>
      </c>
    </row>
    <row r="36" spans="1:11" x14ac:dyDescent="0.3">
      <c r="A36" s="278">
        <v>45352</v>
      </c>
      <c r="B36">
        <v>3723</v>
      </c>
      <c r="C36">
        <v>24</v>
      </c>
      <c r="D36">
        <v>12.14</v>
      </c>
      <c r="E36">
        <f t="shared" ref="E36:E40" si="10">SUM(C36:D36)</f>
        <v>36.14</v>
      </c>
      <c r="F36" s="282">
        <v>20397943</v>
      </c>
      <c r="G36">
        <f>1679+956</f>
        <v>2635</v>
      </c>
      <c r="H36">
        <f>6.23+16.56</f>
        <v>22.79</v>
      </c>
      <c r="I36">
        <f t="shared" ref="I36" si="11">SUM(G36,B36)</f>
        <v>6358</v>
      </c>
      <c r="J36">
        <f t="shared" ref="J36" si="12">SUM(H36,E36)</f>
        <v>58.93</v>
      </c>
      <c r="K36">
        <v>11</v>
      </c>
    </row>
    <row r="37" spans="1:11" x14ac:dyDescent="0.3">
      <c r="A37" s="278">
        <v>45383</v>
      </c>
      <c r="B37">
        <v>3954</v>
      </c>
      <c r="C37">
        <v>25.59</v>
      </c>
      <c r="D37">
        <v>12.78</v>
      </c>
      <c r="E37">
        <f t="shared" si="10"/>
        <v>38.369999999999997</v>
      </c>
      <c r="F37" s="282">
        <v>21750225</v>
      </c>
      <c r="G37">
        <f>882+1517</f>
        <v>2399</v>
      </c>
      <c r="H37">
        <f>5.66+15.54</f>
        <v>21.2</v>
      </c>
      <c r="I37">
        <f t="shared" ref="I37:I40" si="13">SUM(G37,B37)</f>
        <v>6353</v>
      </c>
      <c r="J37">
        <f t="shared" ref="J37:J40" si="14">SUM(H37,E37)</f>
        <v>59.569999999999993</v>
      </c>
      <c r="K37">
        <v>3</v>
      </c>
    </row>
    <row r="38" spans="1:11" x14ac:dyDescent="0.3">
      <c r="A38" s="278">
        <v>45413</v>
      </c>
      <c r="B38">
        <v>4356</v>
      </c>
      <c r="C38">
        <v>28.17</v>
      </c>
      <c r="D38">
        <v>14.23</v>
      </c>
      <c r="E38">
        <f t="shared" si="10"/>
        <v>42.400000000000006</v>
      </c>
      <c r="F38" s="282">
        <v>23941814</v>
      </c>
      <c r="G38">
        <f>632+1355</f>
        <v>1987</v>
      </c>
      <c r="H38">
        <f>14.41+4.14</f>
        <v>18.55</v>
      </c>
      <c r="I38">
        <f t="shared" si="13"/>
        <v>6343</v>
      </c>
      <c r="J38">
        <f t="shared" si="14"/>
        <v>60.95</v>
      </c>
      <c r="K38">
        <v>1</v>
      </c>
    </row>
    <row r="39" spans="1:11" x14ac:dyDescent="0.3">
      <c r="A39" s="278">
        <v>45444</v>
      </c>
      <c r="B39">
        <v>4420</v>
      </c>
      <c r="C39">
        <v>28.57</v>
      </c>
      <c r="D39">
        <v>14.45</v>
      </c>
      <c r="E39">
        <f t="shared" si="10"/>
        <v>43.019999999999996</v>
      </c>
      <c r="F39" s="282">
        <v>24286251</v>
      </c>
      <c r="G39">
        <f>1246+661</f>
        <v>1907</v>
      </c>
      <c r="H39">
        <f>4.37+13.68</f>
        <v>18.05</v>
      </c>
      <c r="I39">
        <f t="shared" si="13"/>
        <v>6327</v>
      </c>
      <c r="J39">
        <f t="shared" si="14"/>
        <v>61.069999999999993</v>
      </c>
      <c r="K39">
        <v>0</v>
      </c>
    </row>
    <row r="40" spans="1:11" x14ac:dyDescent="0.3">
      <c r="A40" s="278">
        <v>45474</v>
      </c>
      <c r="B40">
        <v>4553</v>
      </c>
      <c r="C40">
        <v>29.51</v>
      </c>
      <c r="D40">
        <v>14.87</v>
      </c>
      <c r="E40">
        <f t="shared" si="10"/>
        <v>44.38</v>
      </c>
      <c r="F40" s="282">
        <v>25085948</v>
      </c>
      <c r="G40">
        <f>1150+613</f>
        <v>1763</v>
      </c>
      <c r="H40">
        <f>4.04+12.97</f>
        <v>17.010000000000002</v>
      </c>
      <c r="I40">
        <f t="shared" si="13"/>
        <v>6316</v>
      </c>
      <c r="J40">
        <f t="shared" si="14"/>
        <v>61.39</v>
      </c>
      <c r="K40">
        <v>0</v>
      </c>
    </row>
  </sheetData>
  <mergeCells count="4">
    <mergeCell ref="A1:K1"/>
    <mergeCell ref="A2:A3"/>
    <mergeCell ref="B2:E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B893-269E-4681-A573-450839D9AAD4}">
  <dimension ref="A1:B22"/>
  <sheetViews>
    <sheetView topLeftCell="A6" zoomScale="40" zoomScaleNormal="40" workbookViewId="0">
      <selection activeCell="B16" sqref="B16"/>
    </sheetView>
  </sheetViews>
  <sheetFormatPr defaultColWidth="92.5" defaultRowHeight="18.75" x14ac:dyDescent="0.3"/>
  <cols>
    <col min="1" max="2" width="92.5" style="271"/>
    <col min="3" max="16384" width="92.5" style="272"/>
  </cols>
  <sheetData>
    <row r="1" spans="1:2" x14ac:dyDescent="0.3">
      <c r="A1" s="265" t="s">
        <v>19</v>
      </c>
      <c r="B1" s="266" t="s">
        <v>0</v>
      </c>
    </row>
    <row r="2" spans="1:2" ht="37.5" x14ac:dyDescent="0.3">
      <c r="A2" s="234" t="s">
        <v>20</v>
      </c>
      <c r="B2" s="273" t="s">
        <v>21</v>
      </c>
    </row>
    <row r="3" spans="1:2" x14ac:dyDescent="0.3">
      <c r="A3" s="234" t="s">
        <v>22</v>
      </c>
      <c r="B3" s="273" t="s">
        <v>23</v>
      </c>
    </row>
    <row r="4" spans="1:2" ht="93.75" x14ac:dyDescent="0.3">
      <c r="A4" s="257" t="s">
        <v>24</v>
      </c>
      <c r="B4" s="267" t="s">
        <v>25</v>
      </c>
    </row>
    <row r="5" spans="1:2" x14ac:dyDescent="0.3">
      <c r="A5" s="234" t="s">
        <v>26</v>
      </c>
      <c r="B5" s="273" t="s">
        <v>27</v>
      </c>
    </row>
    <row r="6" spans="1:2" ht="93.75" x14ac:dyDescent="0.3">
      <c r="A6" s="256" t="s">
        <v>15</v>
      </c>
      <c r="B6" s="270" t="s">
        <v>28</v>
      </c>
    </row>
    <row r="7" spans="1:2" ht="75" x14ac:dyDescent="0.3">
      <c r="A7" s="234" t="s">
        <v>29</v>
      </c>
      <c r="B7" s="234" t="s">
        <v>30</v>
      </c>
    </row>
    <row r="8" spans="1:2" ht="93.75" x14ac:dyDescent="0.3">
      <c r="A8" s="234" t="s">
        <v>31</v>
      </c>
      <c r="B8" s="273" t="s">
        <v>32</v>
      </c>
    </row>
    <row r="9" spans="1:2" ht="93.75" x14ac:dyDescent="0.3">
      <c r="A9" s="256" t="s">
        <v>5</v>
      </c>
      <c r="B9" s="263" t="s">
        <v>33</v>
      </c>
    </row>
    <row r="10" spans="1:2" x14ac:dyDescent="0.3">
      <c r="A10" s="234" t="s">
        <v>34</v>
      </c>
      <c r="B10" s="273" t="s">
        <v>35</v>
      </c>
    </row>
    <row r="11" spans="1:2" ht="93.75" x14ac:dyDescent="0.3">
      <c r="A11" s="275" t="s">
        <v>36</v>
      </c>
      <c r="B11" s="268" t="s">
        <v>37</v>
      </c>
    </row>
    <row r="12" spans="1:2" ht="37.5" x14ac:dyDescent="0.3">
      <c r="A12" s="258" t="s">
        <v>10</v>
      </c>
      <c r="B12" s="263" t="s">
        <v>11</v>
      </c>
    </row>
    <row r="13" spans="1:2" ht="112.5" x14ac:dyDescent="0.3">
      <c r="A13" s="269" t="s">
        <v>38</v>
      </c>
      <c r="B13" s="270" t="s">
        <v>39</v>
      </c>
    </row>
    <row r="14" spans="1:2" ht="93.75" x14ac:dyDescent="0.3">
      <c r="A14" s="256" t="s">
        <v>2</v>
      </c>
      <c r="B14" s="263" t="s">
        <v>40</v>
      </c>
    </row>
    <row r="15" spans="1:2" ht="93.75" x14ac:dyDescent="0.3">
      <c r="A15" s="256" t="s">
        <v>9</v>
      </c>
      <c r="B15" s="263" t="s">
        <v>41</v>
      </c>
    </row>
    <row r="16" spans="1:2" ht="75" x14ac:dyDescent="0.3">
      <c r="A16" s="234" t="s">
        <v>42</v>
      </c>
      <c r="B16" s="273" t="s">
        <v>43</v>
      </c>
    </row>
    <row r="17" spans="1:2" ht="93.75" x14ac:dyDescent="0.3">
      <c r="A17" s="264" t="s">
        <v>18</v>
      </c>
      <c r="B17" s="268" t="s">
        <v>44</v>
      </c>
    </row>
    <row r="18" spans="1:2" ht="75" x14ac:dyDescent="0.3">
      <c r="A18" s="234" t="s">
        <v>45</v>
      </c>
      <c r="B18" s="234" t="s">
        <v>46</v>
      </c>
    </row>
    <row r="19" spans="1:2" ht="37.5" x14ac:dyDescent="0.3">
      <c r="A19" s="274" t="s">
        <v>47</v>
      </c>
      <c r="B19" s="273" t="s">
        <v>48</v>
      </c>
    </row>
    <row r="20" spans="1:2" ht="37.5" x14ac:dyDescent="0.3">
      <c r="A20" s="256" t="s">
        <v>13</v>
      </c>
      <c r="B20" s="263" t="s">
        <v>49</v>
      </c>
    </row>
    <row r="21" spans="1:2" ht="131.25" x14ac:dyDescent="0.3">
      <c r="A21" s="256" t="s">
        <v>4</v>
      </c>
      <c r="B21" s="263" t="s">
        <v>50</v>
      </c>
    </row>
    <row r="22" spans="1:2" ht="112.5" x14ac:dyDescent="0.3">
      <c r="A22" s="256" t="s">
        <v>7</v>
      </c>
      <c r="B22" s="263" t="s">
        <v>51</v>
      </c>
    </row>
  </sheetData>
  <autoFilter ref="A1:B13" xr:uid="{7ACDB893-269E-4681-A573-450839D9AAD4}">
    <sortState xmlns:xlrd2="http://schemas.microsoft.com/office/spreadsheetml/2017/richdata2" ref="A2:B22">
      <sortCondition ref="A1:A13"/>
    </sortState>
  </autoFilter>
  <hyperlinks>
    <hyperlink ref="A22" r:id="rId1" display="AES West O‘ahu Solar (Stage 1)" xr:uid="{72589F95-38CE-4C29-92CB-466579B53D86}"/>
    <hyperlink ref="A9" r:id="rId2" display="Kapolei Energy Storage (Stage 2)" xr:uid="{B3C10A84-AF0D-475E-86AA-F9F737153126}"/>
    <hyperlink ref="A14" r:id="rId3" display="Mililani I Solar (Stage 1)" xr:uid="{26B366DC-7ECD-4848-B188-832E35FD1DDE}"/>
    <hyperlink ref="A21" r:id="rId4" display="Waiawa Solar (Stage 1)" xr:uid="{631323A4-7800-4268-8971-75BB8163E151}"/>
    <hyperlink ref="A15" r:id="rId5" display="Mountain View Solar (Stage 2)" xr:uid="{F487FA9A-7D7C-48E5-B8E4-297FF20AAC79}"/>
    <hyperlink ref="A6" r:id="rId6" display="Ho‘ohana Solar 1 (Stage 1)" xr:uid="{D165CAC4-4CA2-44AB-A584-52DE4B02E722}"/>
    <hyperlink ref="A20" r:id="rId7" xr:uid="{B165DB27-9365-4424-B5C4-B976CDEDF7DA}"/>
    <hyperlink ref="A13" r:id="rId8" display="Mahi Solar (Stage 2)" xr:uid="{F1D9440E-13EA-4AE3-AA91-F508C2F1FF8D}"/>
  </hyperlinks>
  <pageMargins left="0.7" right="0.7" top="0.75" bottom="0.75" header="0.3" footer="0.3"/>
  <pageSetup orientation="portrait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4A630-07E6-4CED-AD00-C48F7E07F546}">
  <dimension ref="A1:E6"/>
  <sheetViews>
    <sheetView workbookViewId="0">
      <selection activeCell="D12" sqref="D12"/>
    </sheetView>
  </sheetViews>
  <sheetFormatPr defaultRowHeight="17.25" x14ac:dyDescent="0.35"/>
  <cols>
    <col min="1" max="1" width="9" style="244"/>
    <col min="2" max="2" width="9.5" style="244" bestFit="1" customWidth="1"/>
    <col min="3" max="3" width="23.5" style="244" customWidth="1"/>
    <col min="4" max="4" width="28.75" style="244" customWidth="1"/>
    <col min="5" max="5" width="28.375" style="245" customWidth="1"/>
  </cols>
  <sheetData>
    <row r="1" spans="1:5" ht="16.5" x14ac:dyDescent="0.3">
      <c r="A1" s="246"/>
      <c r="B1" s="246"/>
      <c r="C1" s="286" t="s">
        <v>54</v>
      </c>
      <c r="D1" s="286"/>
      <c r="E1" s="246"/>
    </row>
    <row r="2" spans="1:5" ht="16.5" x14ac:dyDescent="0.3">
      <c r="A2" s="247" t="s">
        <v>19</v>
      </c>
      <c r="B2" s="247" t="s">
        <v>52</v>
      </c>
      <c r="C2" s="247" t="s">
        <v>55</v>
      </c>
      <c r="D2" s="246" t="s">
        <v>56</v>
      </c>
      <c r="E2" s="246" t="s">
        <v>57</v>
      </c>
    </row>
    <row r="3" spans="1:5" ht="27" x14ac:dyDescent="0.3">
      <c r="A3" s="247" t="s">
        <v>58</v>
      </c>
      <c r="B3" s="247" t="s">
        <v>59</v>
      </c>
      <c r="C3" s="247"/>
      <c r="D3" s="246" t="s">
        <v>17</v>
      </c>
      <c r="E3" s="246" t="s">
        <v>60</v>
      </c>
    </row>
    <row r="4" spans="1:5" ht="40.5" x14ac:dyDescent="0.3">
      <c r="A4" s="250" t="s">
        <v>61</v>
      </c>
      <c r="B4" s="248" t="s">
        <v>59</v>
      </c>
      <c r="C4" s="247" t="s">
        <v>62</v>
      </c>
      <c r="D4" s="247" t="s">
        <v>63</v>
      </c>
      <c r="E4" s="246" t="s">
        <v>64</v>
      </c>
    </row>
    <row r="5" spans="1:5" ht="40.5" x14ac:dyDescent="0.3">
      <c r="A5" s="249" t="s">
        <v>13</v>
      </c>
      <c r="B5" s="248" t="s">
        <v>59</v>
      </c>
      <c r="C5" s="247" t="s">
        <v>65</v>
      </c>
      <c r="D5" s="247" t="s">
        <v>66</v>
      </c>
      <c r="E5" s="246" t="s">
        <v>67</v>
      </c>
    </row>
    <row r="6" spans="1:5" ht="26.65" customHeight="1" x14ac:dyDescent="0.3">
      <c r="A6" s="249" t="s">
        <v>68</v>
      </c>
      <c r="B6" s="248" t="s">
        <v>69</v>
      </c>
      <c r="C6" s="247"/>
      <c r="D6" s="247" t="s">
        <v>70</v>
      </c>
      <c r="E6" s="246"/>
    </row>
  </sheetData>
  <mergeCells count="1">
    <mergeCell ref="C1:D1"/>
  </mergeCells>
  <hyperlinks>
    <hyperlink ref="A5" r:id="rId1" display="https://www.aes.com/waiawa-phase-2-solar-storage-project" xr:uid="{1C0E3395-3029-4515-8953-D3DB1313A137}"/>
    <hyperlink ref="A6" r:id="rId2" display="https://www.longroadenergy.com/mahi/" xr:uid="{4C2FA66B-4642-4E17-B8D8-C866E40BA79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804D-961B-4679-A504-992FF6202E47}">
  <dimension ref="A1:I117"/>
  <sheetViews>
    <sheetView zoomScale="70" zoomScaleNormal="70" workbookViewId="0">
      <selection activeCell="A54" sqref="A52:H54"/>
    </sheetView>
  </sheetViews>
  <sheetFormatPr defaultColWidth="9.125" defaultRowHeight="16.5" outlineLevelRow="2" x14ac:dyDescent="0.3"/>
  <cols>
    <col min="1" max="1" width="25.25" style="28" customWidth="1"/>
    <col min="2" max="2" width="21.75" style="85" customWidth="1"/>
    <col min="3" max="3" width="39.125" style="85" customWidth="1"/>
    <col min="4" max="4" width="20.125" style="85" customWidth="1"/>
    <col min="5" max="5" width="68.125" style="86" customWidth="1"/>
    <col min="6" max="6" width="17.375" style="86" customWidth="1"/>
    <col min="7" max="7" width="46.125" style="86" customWidth="1"/>
    <col min="8" max="8" width="23.75" style="28" customWidth="1"/>
    <col min="9" max="16384" width="9.125" style="28"/>
  </cols>
  <sheetData>
    <row r="1" spans="1:9" s="16" customFormat="1" ht="49.5" x14ac:dyDescent="0.3">
      <c r="A1" s="13" t="s">
        <v>19</v>
      </c>
      <c r="B1" s="13" t="s">
        <v>71</v>
      </c>
      <c r="C1" s="13" t="s">
        <v>72</v>
      </c>
      <c r="D1" s="13" t="s">
        <v>73</v>
      </c>
      <c r="E1" s="14" t="s">
        <v>74</v>
      </c>
      <c r="F1" s="14" t="s">
        <v>75</v>
      </c>
      <c r="G1" s="14" t="s">
        <v>76</v>
      </c>
      <c r="H1" s="14" t="s">
        <v>77</v>
      </c>
    </row>
    <row r="2" spans="1:9" ht="22.15" customHeight="1" x14ac:dyDescent="0.3">
      <c r="A2" s="92" t="s">
        <v>78</v>
      </c>
      <c r="B2" s="92" t="s">
        <v>79</v>
      </c>
      <c r="C2" s="93"/>
      <c r="D2" s="93"/>
      <c r="E2" s="93"/>
      <c r="F2" s="93"/>
      <c r="G2" s="94"/>
      <c r="H2" s="223">
        <v>44463</v>
      </c>
    </row>
    <row r="3" spans="1:9" ht="22.15" customHeight="1" outlineLevel="1" x14ac:dyDescent="0.3">
      <c r="A3" s="30" t="s">
        <v>78</v>
      </c>
      <c r="B3" s="30" t="s">
        <v>80</v>
      </c>
      <c r="C3" s="30" t="s">
        <v>81</v>
      </c>
      <c r="D3" s="30" t="s">
        <v>82</v>
      </c>
      <c r="E3" s="210" t="s">
        <v>83</v>
      </c>
      <c r="F3" s="31" t="s">
        <v>84</v>
      </c>
      <c r="G3" s="31" t="s">
        <v>84</v>
      </c>
      <c r="H3" s="84"/>
    </row>
    <row r="4" spans="1:9" ht="22.15" customHeight="1" outlineLevel="1" x14ac:dyDescent="0.3">
      <c r="A4" s="30" t="s">
        <v>78</v>
      </c>
      <c r="B4" s="30" t="s">
        <v>85</v>
      </c>
      <c r="C4" s="30" t="s">
        <v>86</v>
      </c>
      <c r="D4" s="30" t="s">
        <v>82</v>
      </c>
      <c r="E4" s="31" t="s">
        <v>87</v>
      </c>
      <c r="F4" s="31" t="s">
        <v>87</v>
      </c>
      <c r="G4" s="84">
        <v>44200</v>
      </c>
      <c r="H4" s="84"/>
    </row>
    <row r="5" spans="1:9" ht="36.6" customHeight="1" outlineLevel="1" x14ac:dyDescent="0.3">
      <c r="A5" s="30" t="s">
        <v>78</v>
      </c>
      <c r="B5" s="30" t="s">
        <v>88</v>
      </c>
      <c r="C5" s="30" t="s">
        <v>89</v>
      </c>
      <c r="D5" s="30" t="s">
        <v>82</v>
      </c>
      <c r="E5" s="210" t="s">
        <v>83</v>
      </c>
      <c r="F5" s="210" t="s">
        <v>83</v>
      </c>
      <c r="G5" s="31" t="s">
        <v>90</v>
      </c>
      <c r="H5" s="84"/>
    </row>
    <row r="6" spans="1:9" ht="22.15" customHeight="1" outlineLevel="1" x14ac:dyDescent="0.3">
      <c r="A6" s="30" t="s">
        <v>78</v>
      </c>
      <c r="B6" s="30" t="s">
        <v>91</v>
      </c>
      <c r="C6" s="30" t="s">
        <v>92</v>
      </c>
      <c r="D6" s="30" t="s">
        <v>93</v>
      </c>
      <c r="E6" s="31" t="s">
        <v>83</v>
      </c>
      <c r="F6" s="31" t="s">
        <v>83</v>
      </c>
      <c r="G6" s="84">
        <v>44286</v>
      </c>
      <c r="H6" s="84"/>
    </row>
    <row r="7" spans="1:9" ht="22.15" customHeight="1" outlineLevel="1" x14ac:dyDescent="0.3">
      <c r="A7" s="209" t="s">
        <v>78</v>
      </c>
      <c r="B7" s="209" t="s">
        <v>94</v>
      </c>
      <c r="C7" s="209" t="s">
        <v>95</v>
      </c>
      <c r="D7" s="209" t="s">
        <v>82</v>
      </c>
      <c r="E7" s="210" t="s">
        <v>83</v>
      </c>
      <c r="F7" s="210" t="s">
        <v>83</v>
      </c>
      <c r="G7" s="210" t="s">
        <v>96</v>
      </c>
      <c r="H7" s="220"/>
    </row>
    <row r="8" spans="1:9" ht="34.15" customHeight="1" outlineLevel="1" x14ac:dyDescent="0.3">
      <c r="A8" s="30" t="s">
        <v>78</v>
      </c>
      <c r="B8" s="30" t="s">
        <v>97</v>
      </c>
      <c r="C8" s="30" t="s">
        <v>98</v>
      </c>
      <c r="D8" s="30" t="s">
        <v>82</v>
      </c>
      <c r="E8" s="31" t="s">
        <v>99</v>
      </c>
      <c r="F8" s="31" t="s">
        <v>100</v>
      </c>
      <c r="G8" s="84">
        <v>44420</v>
      </c>
      <c r="H8" s="84"/>
    </row>
    <row r="9" spans="1:9" ht="22.15" customHeight="1" outlineLevel="1" x14ac:dyDescent="0.3">
      <c r="A9" s="238" t="s">
        <v>78</v>
      </c>
      <c r="B9" s="238" t="s">
        <v>101</v>
      </c>
      <c r="C9" s="238" t="s">
        <v>102</v>
      </c>
      <c r="D9" s="238" t="s">
        <v>93</v>
      </c>
      <c r="E9" s="239" t="s">
        <v>103</v>
      </c>
      <c r="F9" s="239"/>
      <c r="G9" s="240">
        <v>44470</v>
      </c>
      <c r="H9" s="241"/>
    </row>
    <row r="10" spans="1:9" ht="22.15" customHeight="1" outlineLevel="1" x14ac:dyDescent="0.3">
      <c r="A10" s="38" t="s">
        <v>78</v>
      </c>
      <c r="B10" s="38" t="s">
        <v>104</v>
      </c>
      <c r="C10" s="38" t="s">
        <v>105</v>
      </c>
      <c r="D10" s="38" t="s">
        <v>93</v>
      </c>
      <c r="E10" s="39" t="s">
        <v>99</v>
      </c>
      <c r="F10" s="42"/>
      <c r="G10" s="39" t="s">
        <v>106</v>
      </c>
      <c r="H10" s="133"/>
    </row>
    <row r="11" spans="1:9" ht="22.15" customHeight="1" outlineLevel="1" x14ac:dyDescent="0.3">
      <c r="A11" s="38" t="s">
        <v>78</v>
      </c>
      <c r="B11" s="38" t="s">
        <v>97</v>
      </c>
      <c r="C11" s="38" t="s">
        <v>107</v>
      </c>
      <c r="D11" s="38" t="s">
        <v>93</v>
      </c>
      <c r="E11" s="39" t="s">
        <v>99</v>
      </c>
      <c r="F11" s="42" t="s">
        <v>108</v>
      </c>
      <c r="G11" s="39" t="s">
        <v>109</v>
      </c>
      <c r="H11" s="133"/>
    </row>
    <row r="12" spans="1:9" ht="22.15" customHeight="1" outlineLevel="1" x14ac:dyDescent="0.3">
      <c r="A12" s="38" t="s">
        <v>78</v>
      </c>
      <c r="B12" s="38" t="s">
        <v>97</v>
      </c>
      <c r="C12" s="38" t="s">
        <v>110</v>
      </c>
      <c r="D12" s="38" t="s">
        <v>93</v>
      </c>
      <c r="E12" s="39" t="s">
        <v>99</v>
      </c>
      <c r="F12" s="42" t="s">
        <v>100</v>
      </c>
      <c r="G12" s="39" t="s">
        <v>109</v>
      </c>
      <c r="H12" s="133"/>
    </row>
    <row r="13" spans="1:9" s="255" customFormat="1" ht="22.15" customHeight="1" x14ac:dyDescent="0.3">
      <c r="A13" s="251" t="s">
        <v>111</v>
      </c>
      <c r="B13" s="251" t="s">
        <v>112</v>
      </c>
      <c r="C13" s="252"/>
      <c r="D13" s="252"/>
      <c r="E13" s="252"/>
      <c r="F13" s="252"/>
      <c r="G13" s="253"/>
      <c r="H13" s="254">
        <v>44404</v>
      </c>
      <c r="I13" s="255" t="s">
        <v>53</v>
      </c>
    </row>
    <row r="14" spans="1:9" ht="22.15" customHeight="1" x14ac:dyDescent="0.3">
      <c r="A14" s="92" t="s">
        <v>113</v>
      </c>
      <c r="B14" s="92" t="s">
        <v>114</v>
      </c>
      <c r="C14" s="93"/>
      <c r="D14" s="93"/>
      <c r="E14" s="93"/>
      <c r="F14" s="93"/>
      <c r="G14" s="94"/>
      <c r="H14" s="222">
        <v>44406</v>
      </c>
    </row>
    <row r="15" spans="1:9" s="65" customFormat="1" ht="22.15" customHeight="1" outlineLevel="1" x14ac:dyDescent="0.3">
      <c r="A15" s="60" t="s">
        <v>113</v>
      </c>
      <c r="B15" s="60" t="s">
        <v>97</v>
      </c>
      <c r="C15" s="110" t="s">
        <v>115</v>
      </c>
      <c r="D15" s="110" t="s">
        <v>82</v>
      </c>
      <c r="E15" s="61" t="s">
        <v>116</v>
      </c>
      <c r="F15" s="61" t="s">
        <v>83</v>
      </c>
      <c r="G15" s="62">
        <v>44259</v>
      </c>
      <c r="H15" s="62"/>
    </row>
    <row r="16" spans="1:9" ht="22.15" customHeight="1" outlineLevel="1" x14ac:dyDescent="0.3">
      <c r="A16" s="30" t="s">
        <v>113</v>
      </c>
      <c r="B16" s="30" t="s">
        <v>97</v>
      </c>
      <c r="C16" s="110" t="s">
        <v>115</v>
      </c>
      <c r="D16" s="110" t="s">
        <v>82</v>
      </c>
      <c r="E16" s="61" t="s">
        <v>116</v>
      </c>
      <c r="F16" s="32" t="s">
        <v>83</v>
      </c>
      <c r="G16" s="67">
        <v>43853</v>
      </c>
      <c r="H16" s="67"/>
    </row>
    <row r="17" spans="1:8" ht="22.15" customHeight="1" outlineLevel="1" x14ac:dyDescent="0.3">
      <c r="A17" s="30" t="s">
        <v>113</v>
      </c>
      <c r="B17" s="30" t="s">
        <v>97</v>
      </c>
      <c r="C17" s="110" t="s">
        <v>115</v>
      </c>
      <c r="D17" s="110" t="s">
        <v>82</v>
      </c>
      <c r="E17" s="61" t="s">
        <v>116</v>
      </c>
      <c r="F17" s="32" t="s">
        <v>83</v>
      </c>
      <c r="G17" s="67">
        <v>43853</v>
      </c>
      <c r="H17" s="67"/>
    </row>
    <row r="18" spans="1:8" ht="22.15" customHeight="1" outlineLevel="1" x14ac:dyDescent="0.3">
      <c r="A18" s="30" t="s">
        <v>113</v>
      </c>
      <c r="B18" s="30" t="s">
        <v>97</v>
      </c>
      <c r="C18" s="110" t="s">
        <v>115</v>
      </c>
      <c r="D18" s="110" t="s">
        <v>82</v>
      </c>
      <c r="E18" s="61" t="s">
        <v>116</v>
      </c>
      <c r="F18" s="32" t="s">
        <v>83</v>
      </c>
      <c r="G18" s="67">
        <v>42922</v>
      </c>
      <c r="H18" s="67"/>
    </row>
    <row r="19" spans="1:8" ht="22.15" customHeight="1" outlineLevel="1" x14ac:dyDescent="0.3">
      <c r="A19" s="30" t="s">
        <v>113</v>
      </c>
      <c r="B19" s="30" t="s">
        <v>97</v>
      </c>
      <c r="C19" s="110" t="s">
        <v>115</v>
      </c>
      <c r="D19" s="110" t="s">
        <v>82</v>
      </c>
      <c r="E19" s="61" t="s">
        <v>116</v>
      </c>
      <c r="F19" s="32" t="s">
        <v>83</v>
      </c>
      <c r="G19" s="67">
        <v>42922</v>
      </c>
      <c r="H19" s="67"/>
    </row>
    <row r="20" spans="1:8" ht="22.15" customHeight="1" outlineLevel="1" x14ac:dyDescent="0.3">
      <c r="A20" s="30" t="s">
        <v>113</v>
      </c>
      <c r="B20" s="30" t="s">
        <v>97</v>
      </c>
      <c r="C20" s="110" t="s">
        <v>115</v>
      </c>
      <c r="D20" s="110" t="s">
        <v>82</v>
      </c>
      <c r="E20" s="61" t="s">
        <v>116</v>
      </c>
      <c r="F20" s="32" t="s">
        <v>83</v>
      </c>
      <c r="G20" s="67">
        <v>41915</v>
      </c>
      <c r="H20" s="67"/>
    </row>
    <row r="21" spans="1:8" ht="22.15" customHeight="1" outlineLevel="1" x14ac:dyDescent="0.3">
      <c r="A21" s="30" t="s">
        <v>113</v>
      </c>
      <c r="B21" s="30" t="s">
        <v>97</v>
      </c>
      <c r="C21" s="30" t="s">
        <v>117</v>
      </c>
      <c r="D21" s="30" t="s">
        <v>93</v>
      </c>
      <c r="E21" s="61" t="s">
        <v>116</v>
      </c>
      <c r="F21" s="32" t="s">
        <v>83</v>
      </c>
      <c r="G21" s="67">
        <v>41849</v>
      </c>
      <c r="H21" s="67"/>
    </row>
    <row r="22" spans="1:8" ht="22.15" customHeight="1" outlineLevel="1" x14ac:dyDescent="0.3">
      <c r="A22" s="30" t="s">
        <v>113</v>
      </c>
      <c r="B22" s="30" t="s">
        <v>97</v>
      </c>
      <c r="C22" s="30" t="s">
        <v>118</v>
      </c>
      <c r="D22" s="30" t="s">
        <v>82</v>
      </c>
      <c r="E22" s="61" t="s">
        <v>116</v>
      </c>
      <c r="F22" s="32" t="s">
        <v>83</v>
      </c>
      <c r="G22" s="67">
        <v>41849</v>
      </c>
      <c r="H22" s="67"/>
    </row>
    <row r="23" spans="1:8" ht="22.15" customHeight="1" outlineLevel="1" x14ac:dyDescent="0.3">
      <c r="A23" s="30" t="s">
        <v>113</v>
      </c>
      <c r="B23" s="30" t="s">
        <v>97</v>
      </c>
      <c r="C23" s="30" t="s">
        <v>119</v>
      </c>
      <c r="D23" s="30" t="s">
        <v>82</v>
      </c>
      <c r="E23" s="61" t="s">
        <v>116</v>
      </c>
      <c r="F23" s="32" t="s">
        <v>83</v>
      </c>
      <c r="G23" s="67">
        <v>40305</v>
      </c>
      <c r="H23" s="67"/>
    </row>
    <row r="24" spans="1:8" ht="22.15" customHeight="1" outlineLevel="1" x14ac:dyDescent="0.3">
      <c r="A24" s="30" t="s">
        <v>113</v>
      </c>
      <c r="B24" s="30" t="s">
        <v>91</v>
      </c>
      <c r="C24" s="30" t="s">
        <v>120</v>
      </c>
      <c r="D24" s="30" t="s">
        <v>93</v>
      </c>
      <c r="E24" s="61" t="s">
        <v>116</v>
      </c>
      <c r="F24" s="31" t="s">
        <v>83</v>
      </c>
      <c r="G24" s="67">
        <v>44215</v>
      </c>
      <c r="H24" s="67"/>
    </row>
    <row r="25" spans="1:8" ht="22.15" customHeight="1" outlineLevel="1" x14ac:dyDescent="0.3">
      <c r="A25" s="30" t="s">
        <v>113</v>
      </c>
      <c r="B25" s="30" t="s">
        <v>121</v>
      </c>
      <c r="C25" s="30" t="s">
        <v>122</v>
      </c>
      <c r="D25" s="30" t="s">
        <v>93</v>
      </c>
      <c r="E25" s="61" t="s">
        <v>116</v>
      </c>
      <c r="F25" s="33" t="s">
        <v>123</v>
      </c>
      <c r="G25" s="214" t="s">
        <v>124</v>
      </c>
      <c r="H25" s="33"/>
    </row>
    <row r="26" spans="1:8" ht="22.15" customHeight="1" outlineLevel="1" x14ac:dyDescent="0.3">
      <c r="A26" s="30" t="s">
        <v>113</v>
      </c>
      <c r="B26" s="30" t="s">
        <v>125</v>
      </c>
      <c r="C26" s="30" t="s">
        <v>126</v>
      </c>
      <c r="D26" s="30" t="s">
        <v>93</v>
      </c>
      <c r="E26" s="61" t="s">
        <v>116</v>
      </c>
      <c r="F26" s="33" t="s">
        <v>123</v>
      </c>
      <c r="G26" s="214" t="s">
        <v>124</v>
      </c>
      <c r="H26" s="33"/>
    </row>
    <row r="27" spans="1:8" s="73" customFormat="1" ht="22.15" customHeight="1" outlineLevel="1" x14ac:dyDescent="0.3">
      <c r="A27" s="60" t="s">
        <v>113</v>
      </c>
      <c r="B27" s="60" t="s">
        <v>127</v>
      </c>
      <c r="C27" s="60" t="s">
        <v>128</v>
      </c>
      <c r="D27" s="60" t="s">
        <v>93</v>
      </c>
      <c r="E27" s="61" t="s">
        <v>116</v>
      </c>
      <c r="F27" s="33" t="s">
        <v>123</v>
      </c>
      <c r="G27" s="214" t="s">
        <v>124</v>
      </c>
      <c r="H27" s="33"/>
    </row>
    <row r="28" spans="1:8" ht="22.15" customHeight="1" outlineLevel="1" x14ac:dyDescent="0.3">
      <c r="A28" s="30" t="s">
        <v>113</v>
      </c>
      <c r="B28" s="30" t="s">
        <v>97</v>
      </c>
      <c r="C28" s="30" t="s">
        <v>129</v>
      </c>
      <c r="D28" s="30" t="s">
        <v>93</v>
      </c>
      <c r="E28" s="32" t="s">
        <v>130</v>
      </c>
      <c r="F28" s="31" t="s">
        <v>83</v>
      </c>
      <c r="G28" s="67">
        <v>44267</v>
      </c>
      <c r="H28" s="67"/>
    </row>
    <row r="29" spans="1:8" ht="22.15" customHeight="1" outlineLevel="1" x14ac:dyDescent="0.3">
      <c r="A29" s="30" t="s">
        <v>113</v>
      </c>
      <c r="B29" s="30" t="s">
        <v>97</v>
      </c>
      <c r="C29" s="30" t="s">
        <v>131</v>
      </c>
      <c r="D29" s="30" t="s">
        <v>93</v>
      </c>
      <c r="E29" s="32" t="s">
        <v>130</v>
      </c>
      <c r="F29" s="31" t="s">
        <v>83</v>
      </c>
      <c r="G29" s="67">
        <v>44267</v>
      </c>
      <c r="H29" s="67"/>
    </row>
    <row r="30" spans="1:8" ht="22.15" customHeight="1" outlineLevel="1" x14ac:dyDescent="0.3">
      <c r="A30" s="30" t="s">
        <v>113</v>
      </c>
      <c r="B30" s="30" t="s">
        <v>91</v>
      </c>
      <c r="C30" s="30" t="s">
        <v>132</v>
      </c>
      <c r="D30" s="30" t="s">
        <v>93</v>
      </c>
      <c r="E30" s="33" t="s">
        <v>133</v>
      </c>
      <c r="F30" s="33" t="s">
        <v>133</v>
      </c>
      <c r="G30" s="33" t="s">
        <v>134</v>
      </c>
      <c r="H30" s="33"/>
    </row>
    <row r="31" spans="1:8" s="73" customFormat="1" ht="22.15" customHeight="1" outlineLevel="1" x14ac:dyDescent="0.3">
      <c r="A31" s="60" t="s">
        <v>113</v>
      </c>
      <c r="B31" s="60" t="s">
        <v>135</v>
      </c>
      <c r="C31" s="60" t="s">
        <v>136</v>
      </c>
      <c r="D31" s="60" t="s">
        <v>93</v>
      </c>
      <c r="E31" s="33" t="s">
        <v>133</v>
      </c>
      <c r="F31" s="33" t="s">
        <v>133</v>
      </c>
      <c r="G31" s="33" t="s">
        <v>134</v>
      </c>
      <c r="H31" s="33"/>
    </row>
    <row r="32" spans="1:8" ht="22.15" customHeight="1" outlineLevel="1" x14ac:dyDescent="0.3">
      <c r="A32" s="30" t="s">
        <v>113</v>
      </c>
      <c r="B32" s="30" t="s">
        <v>97</v>
      </c>
      <c r="C32" s="30" t="s">
        <v>137</v>
      </c>
      <c r="D32" s="30" t="s">
        <v>93</v>
      </c>
      <c r="E32" s="32" t="s">
        <v>134</v>
      </c>
      <c r="F32" s="31" t="s">
        <v>134</v>
      </c>
      <c r="G32" s="32" t="s">
        <v>134</v>
      </c>
      <c r="H32" s="32"/>
    </row>
    <row r="33" spans="1:8" ht="41.65" customHeight="1" outlineLevel="1" x14ac:dyDescent="0.3">
      <c r="A33" s="30" t="s">
        <v>113</v>
      </c>
      <c r="B33" s="30" t="s">
        <v>97</v>
      </c>
      <c r="C33" s="30" t="s">
        <v>138</v>
      </c>
      <c r="D33" s="30" t="s">
        <v>93</v>
      </c>
      <c r="E33" s="67" t="s">
        <v>139</v>
      </c>
      <c r="F33" s="31" t="s">
        <v>140</v>
      </c>
      <c r="G33" s="259">
        <v>44407</v>
      </c>
      <c r="H33" s="67"/>
    </row>
    <row r="34" spans="1:8" s="27" customFormat="1" ht="22.15" customHeight="1" x14ac:dyDescent="0.3">
      <c r="A34" s="92" t="s">
        <v>141</v>
      </c>
      <c r="B34" s="92" t="s">
        <v>142</v>
      </c>
      <c r="C34" s="95"/>
      <c r="D34" s="95"/>
      <c r="E34" s="95"/>
      <c r="F34" s="95"/>
      <c r="G34" s="96"/>
      <c r="H34" s="222">
        <v>44405</v>
      </c>
    </row>
    <row r="35" spans="1:8" s="27" customFormat="1" ht="22.15" customHeight="1" outlineLevel="2" x14ac:dyDescent="0.3">
      <c r="A35" s="30" t="s">
        <v>141</v>
      </c>
      <c r="B35" s="30" t="s">
        <v>125</v>
      </c>
      <c r="C35" s="30" t="s">
        <v>126</v>
      </c>
      <c r="D35" s="30" t="s">
        <v>93</v>
      </c>
      <c r="E35" s="33" t="s">
        <v>143</v>
      </c>
      <c r="F35" s="33" t="s">
        <v>143</v>
      </c>
      <c r="G35" s="33" t="s">
        <v>134</v>
      </c>
      <c r="H35" s="33"/>
    </row>
    <row r="36" spans="1:8" s="27" customFormat="1" ht="22.15" customHeight="1" outlineLevel="2" x14ac:dyDescent="0.3">
      <c r="A36" s="30" t="s">
        <v>141</v>
      </c>
      <c r="B36" s="30" t="s">
        <v>135</v>
      </c>
      <c r="C36" s="30" t="s">
        <v>136</v>
      </c>
      <c r="D36" s="30" t="s">
        <v>93</v>
      </c>
      <c r="E36" s="33" t="s">
        <v>143</v>
      </c>
      <c r="F36" s="33" t="s">
        <v>143</v>
      </c>
      <c r="G36" s="33" t="s">
        <v>134</v>
      </c>
      <c r="H36" s="33"/>
    </row>
    <row r="37" spans="1:8" s="27" customFormat="1" ht="22.15" customHeight="1" outlineLevel="2" x14ac:dyDescent="0.3">
      <c r="A37" s="30" t="s">
        <v>141</v>
      </c>
      <c r="B37" s="30" t="s">
        <v>121</v>
      </c>
      <c r="C37" s="30" t="s">
        <v>122</v>
      </c>
      <c r="D37" s="30" t="s">
        <v>93</v>
      </c>
      <c r="E37" s="69"/>
      <c r="F37" s="33" t="s">
        <v>144</v>
      </c>
      <c r="G37" s="33" t="s">
        <v>124</v>
      </c>
      <c r="H37" s="33"/>
    </row>
    <row r="38" spans="1:8" s="27" customFormat="1" ht="22.15" customHeight="1" outlineLevel="2" x14ac:dyDescent="0.3">
      <c r="A38" s="30" t="s">
        <v>141</v>
      </c>
      <c r="B38" s="30" t="s">
        <v>127</v>
      </c>
      <c r="C38" s="30" t="s">
        <v>128</v>
      </c>
      <c r="D38" s="30" t="s">
        <v>93</v>
      </c>
      <c r="E38" s="31"/>
      <c r="F38" s="33" t="s">
        <v>145</v>
      </c>
      <c r="G38" s="33" t="s">
        <v>124</v>
      </c>
      <c r="H38" s="33"/>
    </row>
    <row r="39" spans="1:8" s="27" customFormat="1" ht="22.15" customHeight="1" outlineLevel="2" x14ac:dyDescent="0.3">
      <c r="A39" s="30" t="s">
        <v>141</v>
      </c>
      <c r="B39" s="30" t="s">
        <v>91</v>
      </c>
      <c r="C39" s="30" t="s">
        <v>132</v>
      </c>
      <c r="D39" s="30" t="s">
        <v>93</v>
      </c>
      <c r="E39" s="33" t="s">
        <v>143</v>
      </c>
      <c r="F39" s="33" t="s">
        <v>143</v>
      </c>
      <c r="G39" s="33" t="s">
        <v>134</v>
      </c>
      <c r="H39" s="33"/>
    </row>
    <row r="40" spans="1:8" s="27" customFormat="1" ht="22.15" customHeight="1" outlineLevel="2" x14ac:dyDescent="0.3">
      <c r="A40" s="30" t="s">
        <v>141</v>
      </c>
      <c r="B40" s="30" t="s">
        <v>80</v>
      </c>
      <c r="C40" s="30" t="s">
        <v>81</v>
      </c>
      <c r="D40" s="30" t="s">
        <v>82</v>
      </c>
      <c r="E40" s="33" t="s">
        <v>83</v>
      </c>
      <c r="F40" s="33" t="s">
        <v>83</v>
      </c>
      <c r="G40" s="61" t="s">
        <v>146</v>
      </c>
      <c r="H40" s="61"/>
    </row>
    <row r="41" spans="1:8" s="27" customFormat="1" ht="22.15" customHeight="1" outlineLevel="2" x14ac:dyDescent="0.3">
      <c r="A41" s="30" t="s">
        <v>141</v>
      </c>
      <c r="B41" s="30" t="s">
        <v>91</v>
      </c>
      <c r="C41" s="30" t="s">
        <v>147</v>
      </c>
      <c r="D41" s="30" t="s">
        <v>93</v>
      </c>
      <c r="E41" s="33" t="s">
        <v>148</v>
      </c>
      <c r="F41" s="31" t="s">
        <v>148</v>
      </c>
      <c r="G41" s="62">
        <v>44215</v>
      </c>
      <c r="H41" s="62"/>
    </row>
    <row r="42" spans="1:8" s="27" customFormat="1" ht="22.15" customHeight="1" outlineLevel="2" x14ac:dyDescent="0.3">
      <c r="A42" s="30" t="s">
        <v>141</v>
      </c>
      <c r="B42" s="30" t="s">
        <v>149</v>
      </c>
      <c r="C42" s="30" t="s">
        <v>150</v>
      </c>
      <c r="D42" s="30" t="s">
        <v>82</v>
      </c>
      <c r="E42" s="31" t="s">
        <v>151</v>
      </c>
      <c r="F42" s="31" t="s">
        <v>151</v>
      </c>
      <c r="G42" s="67">
        <v>43872</v>
      </c>
      <c r="H42" s="67"/>
    </row>
    <row r="43" spans="1:8" s="27" customFormat="1" ht="22.15" customHeight="1" outlineLevel="2" x14ac:dyDescent="0.3">
      <c r="A43" s="30" t="s">
        <v>141</v>
      </c>
      <c r="B43" s="30" t="s">
        <v>97</v>
      </c>
      <c r="C43" s="29" t="s">
        <v>152</v>
      </c>
      <c r="D43" s="29" t="s">
        <v>82</v>
      </c>
      <c r="E43" s="31" t="s">
        <v>153</v>
      </c>
      <c r="F43" s="31" t="s">
        <v>153</v>
      </c>
      <c r="G43" s="67" t="s">
        <v>154</v>
      </c>
      <c r="H43" s="67"/>
    </row>
    <row r="44" spans="1:8" s="27" customFormat="1" ht="22.15" customHeight="1" outlineLevel="2" x14ac:dyDescent="0.3">
      <c r="A44" s="30" t="s">
        <v>141</v>
      </c>
      <c r="B44" s="30" t="s">
        <v>97</v>
      </c>
      <c r="C44" s="29" t="s">
        <v>118</v>
      </c>
      <c r="D44" s="29" t="s">
        <v>82</v>
      </c>
      <c r="E44" s="33" t="s">
        <v>151</v>
      </c>
      <c r="F44" s="33" t="s">
        <v>151</v>
      </c>
      <c r="G44" s="62">
        <v>44287</v>
      </c>
      <c r="H44" s="62"/>
    </row>
    <row r="45" spans="1:8" s="27" customFormat="1" ht="22.15" customHeight="1" outlineLevel="2" x14ac:dyDescent="0.3">
      <c r="A45" s="30" t="s">
        <v>141</v>
      </c>
      <c r="B45" s="30" t="s">
        <v>97</v>
      </c>
      <c r="C45" s="29" t="s">
        <v>155</v>
      </c>
      <c r="D45" s="29" t="s">
        <v>82</v>
      </c>
      <c r="E45" s="33" t="s">
        <v>151</v>
      </c>
      <c r="F45" s="33" t="s">
        <v>151</v>
      </c>
      <c r="G45" s="62">
        <v>44270</v>
      </c>
      <c r="H45" s="62"/>
    </row>
    <row r="46" spans="1:8" s="27" customFormat="1" ht="22.15" customHeight="1" outlineLevel="2" x14ac:dyDescent="0.3">
      <c r="A46" s="30" t="s">
        <v>141</v>
      </c>
      <c r="B46" s="30" t="s">
        <v>97</v>
      </c>
      <c r="C46" s="30" t="s">
        <v>129</v>
      </c>
      <c r="D46" s="30" t="s">
        <v>93</v>
      </c>
      <c r="E46" s="32" t="s">
        <v>83</v>
      </c>
      <c r="F46" s="31" t="s">
        <v>83</v>
      </c>
      <c r="G46" s="62">
        <v>44292</v>
      </c>
      <c r="H46" s="62"/>
    </row>
    <row r="47" spans="1:8" s="27" customFormat="1" ht="22.15" customHeight="1" outlineLevel="2" x14ac:dyDescent="0.3">
      <c r="A47" s="30" t="s">
        <v>141</v>
      </c>
      <c r="B47" s="30" t="s">
        <v>97</v>
      </c>
      <c r="C47" s="30" t="s">
        <v>156</v>
      </c>
      <c r="D47" s="30" t="s">
        <v>93</v>
      </c>
      <c r="E47" s="32" t="s">
        <v>83</v>
      </c>
      <c r="F47" s="31" t="s">
        <v>157</v>
      </c>
      <c r="G47" s="62">
        <v>44305</v>
      </c>
      <c r="H47" s="221"/>
    </row>
    <row r="48" spans="1:8" s="27" customFormat="1" ht="22.15" customHeight="1" outlineLevel="2" x14ac:dyDescent="0.3">
      <c r="A48" s="30" t="s">
        <v>141</v>
      </c>
      <c r="B48" s="30" t="s">
        <v>97</v>
      </c>
      <c r="C48" s="30" t="s">
        <v>138</v>
      </c>
      <c r="D48" s="30" t="s">
        <v>93</v>
      </c>
      <c r="E48" s="32" t="s">
        <v>83</v>
      </c>
      <c r="F48" s="31" t="s">
        <v>157</v>
      </c>
      <c r="G48" s="62" t="s">
        <v>157</v>
      </c>
      <c r="H48" s="62"/>
    </row>
    <row r="49" spans="1:8" s="27" customFormat="1" ht="22.15" customHeight="1" outlineLevel="2" x14ac:dyDescent="0.3">
      <c r="A49" s="30" t="s">
        <v>141</v>
      </c>
      <c r="B49" s="30" t="s">
        <v>158</v>
      </c>
      <c r="C49" s="30" t="s">
        <v>159</v>
      </c>
      <c r="D49" s="30" t="s">
        <v>93</v>
      </c>
      <c r="E49" s="33" t="s">
        <v>160</v>
      </c>
      <c r="F49" s="33" t="s">
        <v>161</v>
      </c>
      <c r="G49" s="33" t="s">
        <v>157</v>
      </c>
      <c r="H49" s="33"/>
    </row>
    <row r="50" spans="1:8" s="27" customFormat="1" ht="22.15" customHeight="1" outlineLevel="2" x14ac:dyDescent="0.3">
      <c r="A50" s="30" t="s">
        <v>141</v>
      </c>
      <c r="B50" s="30" t="s">
        <v>97</v>
      </c>
      <c r="C50" s="30" t="s">
        <v>162</v>
      </c>
      <c r="D50" s="30" t="s">
        <v>93</v>
      </c>
      <c r="E50" s="32" t="s">
        <v>163</v>
      </c>
      <c r="F50" s="31" t="s">
        <v>161</v>
      </c>
      <c r="G50" s="260">
        <v>44470</v>
      </c>
      <c r="H50" s="260"/>
    </row>
    <row r="51" spans="1:8" ht="22.15" customHeight="1" x14ac:dyDescent="0.3">
      <c r="A51" s="92" t="s">
        <v>164</v>
      </c>
      <c r="B51" s="92" t="s">
        <v>165</v>
      </c>
      <c r="C51" s="93"/>
      <c r="D51" s="93"/>
      <c r="E51" s="93"/>
      <c r="F51" s="93"/>
      <c r="G51" s="94"/>
      <c r="H51" s="222">
        <v>44405</v>
      </c>
    </row>
    <row r="52" spans="1:8" ht="22.15" customHeight="1" outlineLevel="2" x14ac:dyDescent="0.3">
      <c r="A52" s="83" t="s">
        <v>164</v>
      </c>
      <c r="B52" s="83" t="s">
        <v>80</v>
      </c>
      <c r="C52" s="83" t="s">
        <v>81</v>
      </c>
      <c r="D52" s="83" t="s">
        <v>82</v>
      </c>
      <c r="E52" s="48"/>
      <c r="F52" s="48" t="s">
        <v>166</v>
      </c>
      <c r="G52" s="79"/>
      <c r="H52" s="79"/>
    </row>
    <row r="53" spans="1:8" s="27" customFormat="1" ht="22.15" customHeight="1" outlineLevel="2" x14ac:dyDescent="0.3">
      <c r="A53" s="198" t="s">
        <v>164</v>
      </c>
      <c r="B53" s="198" t="s">
        <v>85</v>
      </c>
      <c r="C53" s="198" t="s">
        <v>167</v>
      </c>
      <c r="D53" s="198" t="s">
        <v>82</v>
      </c>
      <c r="E53" s="198"/>
      <c r="F53" s="198"/>
      <c r="G53" s="42" t="s">
        <v>168</v>
      </c>
      <c r="H53" s="42"/>
    </row>
    <row r="54" spans="1:8" s="27" customFormat="1" ht="22.15" customHeight="1" outlineLevel="2" x14ac:dyDescent="0.3">
      <c r="A54" s="38" t="s">
        <v>164</v>
      </c>
      <c r="B54" s="38" t="s">
        <v>97</v>
      </c>
      <c r="C54" s="38" t="s">
        <v>98</v>
      </c>
      <c r="D54" s="38" t="s">
        <v>82</v>
      </c>
      <c r="E54" s="39"/>
      <c r="F54" s="37"/>
      <c r="G54" s="39" t="s">
        <v>169</v>
      </c>
      <c r="H54" s="39"/>
    </row>
    <row r="55" spans="1:8" s="27" customFormat="1" ht="22.15" customHeight="1" outlineLevel="2" x14ac:dyDescent="0.3">
      <c r="A55" s="38" t="s">
        <v>164</v>
      </c>
      <c r="B55" s="38" t="s">
        <v>97</v>
      </c>
      <c r="C55" s="38" t="s">
        <v>170</v>
      </c>
      <c r="D55" s="38" t="s">
        <v>93</v>
      </c>
      <c r="E55" s="39"/>
      <c r="F55" s="37"/>
      <c r="G55" s="39" t="s">
        <v>169</v>
      </c>
      <c r="H55" s="39"/>
    </row>
    <row r="56" spans="1:8" s="27" customFormat="1" ht="22.15" customHeight="1" outlineLevel="2" x14ac:dyDescent="0.3">
      <c r="A56" s="38" t="s">
        <v>164</v>
      </c>
      <c r="B56" s="38" t="s">
        <v>91</v>
      </c>
      <c r="C56" s="38" t="s">
        <v>92</v>
      </c>
      <c r="D56" s="38" t="s">
        <v>93</v>
      </c>
      <c r="E56" s="39"/>
      <c r="F56" s="37"/>
      <c r="G56" s="39" t="s">
        <v>171</v>
      </c>
      <c r="H56" s="39"/>
    </row>
    <row r="57" spans="1:8" s="27" customFormat="1" ht="22.15" customHeight="1" outlineLevel="2" x14ac:dyDescent="0.3">
      <c r="A57" s="38" t="s">
        <v>164</v>
      </c>
      <c r="B57" s="38" t="s">
        <v>104</v>
      </c>
      <c r="C57" s="38" t="s">
        <v>105</v>
      </c>
      <c r="D57" s="38" t="s">
        <v>93</v>
      </c>
      <c r="E57" s="39"/>
      <c r="F57" s="37"/>
      <c r="G57" s="39" t="s">
        <v>169</v>
      </c>
      <c r="H57" s="39"/>
    </row>
    <row r="58" spans="1:8" s="27" customFormat="1" ht="22.15" customHeight="1" outlineLevel="2" x14ac:dyDescent="0.3">
      <c r="A58" s="38" t="s">
        <v>164</v>
      </c>
      <c r="B58" s="38" t="s">
        <v>97</v>
      </c>
      <c r="C58" s="38" t="s">
        <v>107</v>
      </c>
      <c r="D58" s="38" t="s">
        <v>93</v>
      </c>
      <c r="E58" s="39"/>
      <c r="F58" s="37"/>
      <c r="G58" s="39" t="s">
        <v>172</v>
      </c>
      <c r="H58" s="39"/>
    </row>
    <row r="59" spans="1:8" ht="22.15" customHeight="1" outlineLevel="2" x14ac:dyDescent="0.3">
      <c r="A59" s="38" t="s">
        <v>164</v>
      </c>
      <c r="B59" s="38" t="s">
        <v>97</v>
      </c>
      <c r="C59" s="38" t="s">
        <v>110</v>
      </c>
      <c r="D59" s="38" t="s">
        <v>93</v>
      </c>
      <c r="E59" s="39"/>
      <c r="F59" s="81"/>
      <c r="G59" s="39" t="s">
        <v>172</v>
      </c>
      <c r="H59" s="39"/>
    </row>
    <row r="60" spans="1:8" s="27" customFormat="1" ht="22.15" customHeight="1" x14ac:dyDescent="0.3">
      <c r="A60" s="92" t="s">
        <v>173</v>
      </c>
      <c r="B60" s="92" t="s">
        <v>174</v>
      </c>
      <c r="C60" s="95"/>
      <c r="D60" s="95"/>
      <c r="E60" s="95"/>
      <c r="F60" s="95"/>
      <c r="G60" s="96"/>
      <c r="H60" s="222">
        <v>44405</v>
      </c>
    </row>
    <row r="61" spans="1:8" s="27" customFormat="1" ht="22.15" customHeight="1" outlineLevel="1" x14ac:dyDescent="0.3">
      <c r="A61" s="30" t="s">
        <v>173</v>
      </c>
      <c r="B61" s="30" t="s">
        <v>97</v>
      </c>
      <c r="C61" s="29" t="s">
        <v>118</v>
      </c>
      <c r="D61" s="29" t="s">
        <v>82</v>
      </c>
      <c r="E61" s="31"/>
      <c r="F61" s="32" t="s">
        <v>151</v>
      </c>
      <c r="G61" s="82">
        <v>42005</v>
      </c>
      <c r="H61" s="82"/>
    </row>
    <row r="62" spans="1:8" s="27" customFormat="1" ht="22.15" customHeight="1" outlineLevel="1" x14ac:dyDescent="0.3">
      <c r="A62" s="30" t="s">
        <v>173</v>
      </c>
      <c r="B62" s="30" t="s">
        <v>85</v>
      </c>
      <c r="C62" s="30" t="s">
        <v>167</v>
      </c>
      <c r="D62" s="30" t="s">
        <v>82</v>
      </c>
      <c r="E62" s="31"/>
      <c r="F62" s="30" t="s">
        <v>175</v>
      </c>
      <c r="G62" s="30" t="s">
        <v>175</v>
      </c>
      <c r="H62" s="30"/>
    </row>
    <row r="63" spans="1:8" s="27" customFormat="1" ht="22.15" customHeight="1" outlineLevel="1" x14ac:dyDescent="0.3">
      <c r="A63" s="30" t="s">
        <v>173</v>
      </c>
      <c r="B63" s="30" t="s">
        <v>97</v>
      </c>
      <c r="C63" s="30" t="s">
        <v>176</v>
      </c>
      <c r="D63" s="30" t="s">
        <v>93</v>
      </c>
      <c r="E63" s="32"/>
      <c r="F63" s="32" t="s">
        <v>151</v>
      </c>
      <c r="G63" s="82">
        <v>43800</v>
      </c>
      <c r="H63" s="82"/>
    </row>
    <row r="64" spans="1:8" s="27" customFormat="1" ht="22.15" customHeight="1" outlineLevel="1" x14ac:dyDescent="0.3">
      <c r="A64" s="30" t="s">
        <v>173</v>
      </c>
      <c r="B64" s="30" t="s">
        <v>97</v>
      </c>
      <c r="C64" s="29" t="s">
        <v>155</v>
      </c>
      <c r="D64" s="29" t="s">
        <v>82</v>
      </c>
      <c r="E64" s="31"/>
      <c r="F64" s="32" t="s">
        <v>151</v>
      </c>
      <c r="G64" s="82">
        <v>43756</v>
      </c>
      <c r="H64" s="82"/>
    </row>
    <row r="65" spans="1:8" s="27" customFormat="1" ht="22.15" customHeight="1" outlineLevel="1" x14ac:dyDescent="0.3">
      <c r="A65" s="30" t="s">
        <v>173</v>
      </c>
      <c r="B65" s="30" t="s">
        <v>97</v>
      </c>
      <c r="C65" s="29" t="s">
        <v>155</v>
      </c>
      <c r="D65" s="29" t="s">
        <v>82</v>
      </c>
      <c r="E65" s="31"/>
      <c r="F65" s="32" t="s">
        <v>151</v>
      </c>
      <c r="G65" s="82">
        <v>43757</v>
      </c>
      <c r="H65" s="82"/>
    </row>
    <row r="66" spans="1:8" s="27" customFormat="1" ht="22.15" customHeight="1" outlineLevel="1" x14ac:dyDescent="0.3">
      <c r="A66" s="30" t="s">
        <v>173</v>
      </c>
      <c r="B66" s="30" t="s">
        <v>91</v>
      </c>
      <c r="C66" s="30" t="s">
        <v>177</v>
      </c>
      <c r="D66" s="30" t="s">
        <v>93</v>
      </c>
      <c r="E66" s="32"/>
      <c r="F66" s="32" t="s">
        <v>151</v>
      </c>
      <c r="G66" s="82">
        <v>43800</v>
      </c>
      <c r="H66" s="82"/>
    </row>
    <row r="67" spans="1:8" s="27" customFormat="1" ht="22.15" customHeight="1" outlineLevel="1" x14ac:dyDescent="0.3">
      <c r="A67" s="30" t="s">
        <v>173</v>
      </c>
      <c r="B67" s="30" t="s">
        <v>97</v>
      </c>
      <c r="C67" s="47" t="s">
        <v>117</v>
      </c>
      <c r="D67" s="47" t="s">
        <v>93</v>
      </c>
      <c r="E67" s="31"/>
      <c r="F67" s="32" t="s">
        <v>151</v>
      </c>
      <c r="G67" s="82">
        <v>44409</v>
      </c>
      <c r="H67" s="82"/>
    </row>
    <row r="68" spans="1:8" s="27" customFormat="1" ht="22.15" customHeight="1" outlineLevel="1" x14ac:dyDescent="0.3">
      <c r="A68" s="30" t="s">
        <v>173</v>
      </c>
      <c r="B68" s="30" t="s">
        <v>97</v>
      </c>
      <c r="C68" s="29" t="s">
        <v>155</v>
      </c>
      <c r="D68" s="29" t="s">
        <v>82</v>
      </c>
      <c r="E68" s="31"/>
      <c r="F68" s="32" t="s">
        <v>151</v>
      </c>
      <c r="G68" s="82">
        <v>44409</v>
      </c>
      <c r="H68" s="82"/>
    </row>
    <row r="69" spans="1:8" s="27" customFormat="1" ht="22.15" customHeight="1" outlineLevel="1" x14ac:dyDescent="0.3">
      <c r="A69" s="30" t="s">
        <v>173</v>
      </c>
      <c r="B69" s="30" t="s">
        <v>178</v>
      </c>
      <c r="C69" s="30" t="s">
        <v>179</v>
      </c>
      <c r="D69" s="30" t="s">
        <v>82</v>
      </c>
      <c r="E69" s="31"/>
      <c r="F69" s="31" t="s">
        <v>180</v>
      </c>
      <c r="G69" s="67">
        <v>44112</v>
      </c>
      <c r="H69" s="67"/>
    </row>
    <row r="70" spans="1:8" s="27" customFormat="1" ht="22.15" customHeight="1" outlineLevel="1" x14ac:dyDescent="0.3">
      <c r="A70" s="30" t="s">
        <v>173</v>
      </c>
      <c r="B70" s="30" t="s">
        <v>158</v>
      </c>
      <c r="C70" s="30" t="s">
        <v>181</v>
      </c>
      <c r="D70" s="30" t="s">
        <v>93</v>
      </c>
      <c r="E70" s="32"/>
      <c r="F70" s="32" t="s">
        <v>182</v>
      </c>
      <c r="G70" s="32"/>
      <c r="H70" s="32"/>
    </row>
    <row r="71" spans="1:8" s="27" customFormat="1" ht="22.15" customHeight="1" outlineLevel="1" x14ac:dyDescent="0.3">
      <c r="A71" s="30" t="s">
        <v>173</v>
      </c>
      <c r="B71" s="30" t="s">
        <v>97</v>
      </c>
      <c r="C71" s="30" t="s">
        <v>183</v>
      </c>
      <c r="D71" s="30" t="s">
        <v>93</v>
      </c>
      <c r="E71" s="32" t="s">
        <v>184</v>
      </c>
      <c r="F71" s="32"/>
      <c r="G71" s="32" t="s">
        <v>134</v>
      </c>
      <c r="H71" s="32"/>
    </row>
    <row r="72" spans="1:8" s="27" customFormat="1" ht="22.15" customHeight="1" outlineLevel="1" x14ac:dyDescent="0.3">
      <c r="A72" s="38" t="s">
        <v>173</v>
      </c>
      <c r="B72" s="38" t="s">
        <v>80</v>
      </c>
      <c r="C72" s="38" t="s">
        <v>185</v>
      </c>
      <c r="D72" s="38" t="s">
        <v>82</v>
      </c>
      <c r="E72" s="41"/>
      <c r="F72" s="41" t="s">
        <v>186</v>
      </c>
      <c r="G72" s="41"/>
      <c r="H72" s="41"/>
    </row>
    <row r="73" spans="1:8" s="27" customFormat="1" ht="22.15" customHeight="1" outlineLevel="1" x14ac:dyDescent="0.3">
      <c r="A73" s="211" t="s">
        <v>173</v>
      </c>
      <c r="B73" s="211" t="s">
        <v>97</v>
      </c>
      <c r="C73" s="211" t="s">
        <v>187</v>
      </c>
      <c r="D73" s="211" t="s">
        <v>93</v>
      </c>
      <c r="E73" s="212" t="s">
        <v>188</v>
      </c>
      <c r="F73" s="212"/>
      <c r="G73" s="212" t="s">
        <v>189</v>
      </c>
      <c r="H73" s="39"/>
    </row>
    <row r="74" spans="1:8" s="27" customFormat="1" ht="22.15" customHeight="1" outlineLevel="1" x14ac:dyDescent="0.3">
      <c r="A74" s="211" t="s">
        <v>173</v>
      </c>
      <c r="B74" s="211" t="s">
        <v>97</v>
      </c>
      <c r="C74" s="211" t="s">
        <v>190</v>
      </c>
      <c r="D74" s="211" t="s">
        <v>93</v>
      </c>
      <c r="E74" s="212" t="s">
        <v>191</v>
      </c>
      <c r="F74" s="212"/>
      <c r="G74" s="212" t="s">
        <v>189</v>
      </c>
      <c r="H74" s="39"/>
    </row>
    <row r="75" spans="1:8" s="27" customFormat="1" ht="22.15" customHeight="1" outlineLevel="1" x14ac:dyDescent="0.3">
      <c r="A75" s="38" t="s">
        <v>173</v>
      </c>
      <c r="B75" s="38" t="s">
        <v>97</v>
      </c>
      <c r="C75" s="38" t="s">
        <v>192</v>
      </c>
      <c r="D75" s="38" t="s">
        <v>93</v>
      </c>
      <c r="E75" s="39" t="s">
        <v>193</v>
      </c>
      <c r="F75" s="39"/>
      <c r="G75" s="39" t="s">
        <v>189</v>
      </c>
      <c r="H75" s="39"/>
    </row>
    <row r="76" spans="1:8" s="27" customFormat="1" ht="22.15" customHeight="1" outlineLevel="1" x14ac:dyDescent="0.3">
      <c r="A76" s="38" t="s">
        <v>173</v>
      </c>
      <c r="B76" s="38" t="s">
        <v>91</v>
      </c>
      <c r="C76" s="38" t="s">
        <v>194</v>
      </c>
      <c r="D76" s="38" t="s">
        <v>93</v>
      </c>
      <c r="E76" s="39" t="s">
        <v>195</v>
      </c>
      <c r="F76" s="39"/>
      <c r="G76" s="39" t="s">
        <v>189</v>
      </c>
      <c r="H76" s="39"/>
    </row>
    <row r="77" spans="1:8" s="27" customFormat="1" ht="22.15" customHeight="1" outlineLevel="1" x14ac:dyDescent="0.3">
      <c r="A77" s="38" t="s">
        <v>173</v>
      </c>
      <c r="B77" s="38" t="s">
        <v>91</v>
      </c>
      <c r="C77" s="38" t="s">
        <v>196</v>
      </c>
      <c r="D77" s="38" t="s">
        <v>93</v>
      </c>
      <c r="E77" s="39" t="s">
        <v>193</v>
      </c>
      <c r="F77" s="39"/>
      <c r="G77" s="39" t="s">
        <v>189</v>
      </c>
      <c r="H77" s="39"/>
    </row>
    <row r="78" spans="1:8" s="27" customFormat="1" ht="22.15" customHeight="1" outlineLevel="1" x14ac:dyDescent="0.3">
      <c r="A78" s="38" t="s">
        <v>173</v>
      </c>
      <c r="B78" s="38" t="s">
        <v>97</v>
      </c>
      <c r="C78" s="38" t="s">
        <v>197</v>
      </c>
      <c r="D78" s="38" t="s">
        <v>93</v>
      </c>
      <c r="E78" s="39" t="s">
        <v>198</v>
      </c>
      <c r="F78" s="39"/>
      <c r="G78" s="39" t="s">
        <v>199</v>
      </c>
      <c r="H78" s="39"/>
    </row>
    <row r="79" spans="1:8" s="27" customFormat="1" ht="22.15" customHeight="1" outlineLevel="1" x14ac:dyDescent="0.3">
      <c r="A79" s="38" t="s">
        <v>173</v>
      </c>
      <c r="B79" s="38" t="s">
        <v>97</v>
      </c>
      <c r="C79" s="38" t="s">
        <v>138</v>
      </c>
      <c r="D79" s="38" t="s">
        <v>93</v>
      </c>
      <c r="E79" s="39" t="s">
        <v>200</v>
      </c>
      <c r="F79" s="39"/>
      <c r="G79" s="39" t="s">
        <v>199</v>
      </c>
      <c r="H79" s="39"/>
    </row>
    <row r="80" spans="1:8" ht="22.15" customHeight="1" x14ac:dyDescent="0.3">
      <c r="A80" s="92" t="s">
        <v>141</v>
      </c>
      <c r="B80" s="92" t="s">
        <v>201</v>
      </c>
      <c r="C80" s="95"/>
      <c r="D80" s="95"/>
      <c r="E80" s="95"/>
      <c r="F80" s="95"/>
      <c r="G80" s="96"/>
      <c r="H80" s="222">
        <v>44405</v>
      </c>
    </row>
    <row r="81" spans="1:8" ht="22.15" hidden="1" customHeight="1" outlineLevel="1" x14ac:dyDescent="0.3">
      <c r="A81" s="213" t="s">
        <v>141</v>
      </c>
      <c r="B81" s="213" t="s">
        <v>80</v>
      </c>
      <c r="C81" s="213" t="s">
        <v>81</v>
      </c>
      <c r="D81" s="213" t="s">
        <v>82</v>
      </c>
      <c r="E81" s="215"/>
      <c r="F81" s="215"/>
      <c r="G81" s="215"/>
      <c r="H81" s="215"/>
    </row>
    <row r="82" spans="1:8" ht="22.15" hidden="1" customHeight="1" outlineLevel="1" x14ac:dyDescent="0.3">
      <c r="A82" s="213" t="s">
        <v>141</v>
      </c>
      <c r="B82" s="213" t="s">
        <v>202</v>
      </c>
      <c r="C82" s="213" t="s">
        <v>203</v>
      </c>
      <c r="D82" s="213" t="s">
        <v>93</v>
      </c>
      <c r="E82" s="214"/>
      <c r="F82" s="224"/>
      <c r="G82" s="214" t="s">
        <v>204</v>
      </c>
      <c r="H82" s="214"/>
    </row>
    <row r="83" spans="1:8" ht="89.1" hidden="1" customHeight="1" outlineLevel="1" x14ac:dyDescent="0.3">
      <c r="A83" s="211" t="s">
        <v>141</v>
      </c>
      <c r="B83" s="211" t="s">
        <v>85</v>
      </c>
      <c r="C83" s="211" t="s">
        <v>167</v>
      </c>
      <c r="D83" s="211" t="s">
        <v>93</v>
      </c>
      <c r="E83" s="211" t="s">
        <v>205</v>
      </c>
      <c r="F83" s="211" t="s">
        <v>206</v>
      </c>
      <c r="G83" s="212" t="s">
        <v>204</v>
      </c>
      <c r="H83" s="212"/>
    </row>
    <row r="84" spans="1:8" ht="22.15" hidden="1" customHeight="1" outlineLevel="1" x14ac:dyDescent="0.3">
      <c r="A84" s="38" t="s">
        <v>141</v>
      </c>
      <c r="B84" s="38" t="s">
        <v>149</v>
      </c>
      <c r="C84" s="38" t="s">
        <v>207</v>
      </c>
      <c r="D84" s="38"/>
      <c r="E84" s="39"/>
      <c r="F84" s="81"/>
      <c r="G84" s="39" t="s">
        <v>106</v>
      </c>
      <c r="H84" s="39"/>
    </row>
    <row r="85" spans="1:8" ht="22.15" hidden="1" customHeight="1" outlineLevel="1" x14ac:dyDescent="0.3">
      <c r="A85" s="211" t="s">
        <v>141</v>
      </c>
      <c r="B85" s="211" t="s">
        <v>97</v>
      </c>
      <c r="C85" s="211" t="s">
        <v>98</v>
      </c>
      <c r="D85" s="211"/>
      <c r="E85" s="212"/>
      <c r="F85" s="224"/>
      <c r="G85" s="212" t="s">
        <v>169</v>
      </c>
      <c r="H85" s="212"/>
    </row>
    <row r="86" spans="1:8" ht="22.15" hidden="1" customHeight="1" outlineLevel="1" x14ac:dyDescent="0.3">
      <c r="A86" s="211" t="s">
        <v>141</v>
      </c>
      <c r="B86" s="211" t="s">
        <v>97</v>
      </c>
      <c r="C86" s="211" t="s">
        <v>119</v>
      </c>
      <c r="D86" s="211"/>
      <c r="E86" s="212"/>
      <c r="F86" s="224"/>
      <c r="G86" s="212" t="s">
        <v>208</v>
      </c>
      <c r="H86" s="212"/>
    </row>
    <row r="87" spans="1:8" ht="22.15" hidden="1" customHeight="1" outlineLevel="1" x14ac:dyDescent="0.3">
      <c r="A87" s="211" t="s">
        <v>141</v>
      </c>
      <c r="B87" s="211" t="s">
        <v>97</v>
      </c>
      <c r="C87" s="211" t="s">
        <v>155</v>
      </c>
      <c r="D87" s="211"/>
      <c r="E87" s="212"/>
      <c r="F87" s="224"/>
      <c r="G87" s="212" t="s">
        <v>169</v>
      </c>
      <c r="H87" s="212"/>
    </row>
    <row r="88" spans="1:8" ht="22.15" hidden="1" customHeight="1" outlineLevel="1" x14ac:dyDescent="0.3">
      <c r="A88" s="38" t="s">
        <v>141</v>
      </c>
      <c r="B88" s="38" t="s">
        <v>97</v>
      </c>
      <c r="C88" s="38" t="s">
        <v>170</v>
      </c>
      <c r="D88" s="38"/>
      <c r="E88" s="39"/>
      <c r="F88" s="81"/>
      <c r="G88" s="39" t="s">
        <v>169</v>
      </c>
      <c r="H88" s="39"/>
    </row>
    <row r="89" spans="1:8" ht="22.15" hidden="1" customHeight="1" outlineLevel="1" x14ac:dyDescent="0.3">
      <c r="A89" s="38" t="s">
        <v>141</v>
      </c>
      <c r="B89" s="38" t="s">
        <v>91</v>
      </c>
      <c r="C89" s="38" t="s">
        <v>209</v>
      </c>
      <c r="D89" s="38"/>
      <c r="E89" s="39"/>
      <c r="F89" s="81"/>
      <c r="G89" s="39" t="s">
        <v>169</v>
      </c>
      <c r="H89" s="39"/>
    </row>
    <row r="90" spans="1:8" ht="22.15" hidden="1" customHeight="1" outlineLevel="1" x14ac:dyDescent="0.3">
      <c r="A90" s="38" t="s">
        <v>141</v>
      </c>
      <c r="B90" s="38" t="s">
        <v>104</v>
      </c>
      <c r="C90" s="38" t="s">
        <v>105</v>
      </c>
      <c r="D90" s="38"/>
      <c r="E90" s="39"/>
      <c r="F90" s="81"/>
      <c r="G90" s="39" t="s">
        <v>169</v>
      </c>
      <c r="H90" s="39"/>
    </row>
    <row r="91" spans="1:8" ht="22.15" hidden="1" customHeight="1" outlineLevel="1" x14ac:dyDescent="0.3">
      <c r="A91" s="38" t="s">
        <v>141</v>
      </c>
      <c r="B91" s="38" t="s">
        <v>97</v>
      </c>
      <c r="C91" s="38" t="s">
        <v>107</v>
      </c>
      <c r="D91" s="38"/>
      <c r="E91" s="39"/>
      <c r="F91" s="81"/>
      <c r="G91" s="39" t="s">
        <v>172</v>
      </c>
      <c r="H91" s="39"/>
    </row>
    <row r="92" spans="1:8" ht="22.15" hidden="1" customHeight="1" outlineLevel="1" x14ac:dyDescent="0.3">
      <c r="A92" s="38" t="s">
        <v>141</v>
      </c>
      <c r="B92" s="38" t="s">
        <v>97</v>
      </c>
      <c r="C92" s="38" t="s">
        <v>110</v>
      </c>
      <c r="D92" s="38"/>
      <c r="E92" s="39"/>
      <c r="F92" s="81"/>
      <c r="G92" s="39" t="s">
        <v>172</v>
      </c>
      <c r="H92" s="39"/>
    </row>
    <row r="93" spans="1:8" s="27" customFormat="1" ht="22.15" customHeight="1" collapsed="1" x14ac:dyDescent="0.3">
      <c r="A93" s="92"/>
      <c r="B93" s="92" t="s">
        <v>68</v>
      </c>
      <c r="C93" s="95"/>
      <c r="D93" s="95"/>
      <c r="E93" s="95"/>
      <c r="F93" s="95"/>
      <c r="G93" s="96"/>
      <c r="H93" s="222">
        <v>44449</v>
      </c>
    </row>
    <row r="94" spans="1:8" s="27" customFormat="1" ht="22.15" hidden="1" customHeight="1" outlineLevel="2" x14ac:dyDescent="0.3">
      <c r="A94" s="30" t="s">
        <v>210</v>
      </c>
      <c r="B94" s="30" t="s">
        <v>158</v>
      </c>
      <c r="C94" s="30" t="s">
        <v>211</v>
      </c>
      <c r="D94" s="30"/>
      <c r="E94" s="84"/>
      <c r="F94" s="84" t="s">
        <v>133</v>
      </c>
      <c r="G94" s="84"/>
      <c r="H94" s="84"/>
    </row>
    <row r="95" spans="1:8" s="27" customFormat="1" ht="22.15" hidden="1" customHeight="1" outlineLevel="2" x14ac:dyDescent="0.3">
      <c r="A95" s="30" t="s">
        <v>210</v>
      </c>
      <c r="B95" s="30" t="s">
        <v>80</v>
      </c>
      <c r="C95" s="30" t="s">
        <v>212</v>
      </c>
      <c r="D95" s="30"/>
      <c r="E95" s="84" t="s">
        <v>213</v>
      </c>
      <c r="F95" s="84" t="s">
        <v>83</v>
      </c>
      <c r="G95" s="84">
        <v>44196</v>
      </c>
      <c r="H95" s="84"/>
    </row>
    <row r="96" spans="1:8" s="27" customFormat="1" ht="22.15" hidden="1" customHeight="1" outlineLevel="2" x14ac:dyDescent="0.3">
      <c r="A96" s="213" t="s">
        <v>210</v>
      </c>
      <c r="B96" s="213" t="s">
        <v>80</v>
      </c>
      <c r="C96" s="213" t="s">
        <v>81</v>
      </c>
      <c r="D96" s="213"/>
      <c r="E96" s="214" t="s">
        <v>214</v>
      </c>
      <c r="F96" s="214" t="s">
        <v>186</v>
      </c>
      <c r="G96" s="215"/>
      <c r="H96" s="215"/>
    </row>
    <row r="97" spans="1:8" s="27" customFormat="1" ht="22.15" hidden="1" customHeight="1" outlineLevel="2" x14ac:dyDescent="0.3">
      <c r="A97" s="230" t="s">
        <v>210</v>
      </c>
      <c r="B97" s="230" t="s">
        <v>178</v>
      </c>
      <c r="C97" s="230" t="s">
        <v>215</v>
      </c>
      <c r="D97" s="230"/>
      <c r="E97" s="231" t="s">
        <v>216</v>
      </c>
      <c r="F97" s="232" t="s">
        <v>83</v>
      </c>
      <c r="G97" s="233">
        <v>44448</v>
      </c>
      <c r="H97" s="233"/>
    </row>
    <row r="98" spans="1:8" s="27" customFormat="1" ht="363" hidden="1" outlineLevel="2" x14ac:dyDescent="0.3">
      <c r="A98" s="230" t="s">
        <v>210</v>
      </c>
      <c r="B98" s="230" t="s">
        <v>85</v>
      </c>
      <c r="C98" s="230" t="s">
        <v>217</v>
      </c>
      <c r="D98" s="230"/>
      <c r="E98" s="232" t="s">
        <v>218</v>
      </c>
      <c r="F98" s="232" t="s">
        <v>219</v>
      </c>
      <c r="G98" s="232">
        <v>44447</v>
      </c>
      <c r="H98" s="232"/>
    </row>
    <row r="99" spans="1:8" s="27" customFormat="1" ht="22.15" hidden="1" customHeight="1" outlineLevel="2" x14ac:dyDescent="0.3">
      <c r="A99" s="38" t="s">
        <v>210</v>
      </c>
      <c r="B99" s="38" t="s">
        <v>97</v>
      </c>
      <c r="C99" s="38" t="s">
        <v>117</v>
      </c>
      <c r="D99" s="38"/>
      <c r="E99" s="133" t="s">
        <v>220</v>
      </c>
      <c r="F99" s="37"/>
      <c r="G99" s="133" t="s">
        <v>221</v>
      </c>
      <c r="H99" s="133"/>
    </row>
    <row r="100" spans="1:8" s="27" customFormat="1" ht="40.15" hidden="1" customHeight="1" outlineLevel="2" x14ac:dyDescent="0.3">
      <c r="A100" s="38" t="s">
        <v>210</v>
      </c>
      <c r="B100" s="38" t="s">
        <v>97</v>
      </c>
      <c r="C100" s="38" t="s">
        <v>222</v>
      </c>
      <c r="D100" s="38"/>
      <c r="E100" s="133" t="s">
        <v>220</v>
      </c>
      <c r="F100" s="37"/>
      <c r="G100" s="133" t="s">
        <v>221</v>
      </c>
      <c r="H100" s="133"/>
    </row>
    <row r="101" spans="1:8" s="27" customFormat="1" ht="22.15" hidden="1" customHeight="1" outlineLevel="2" x14ac:dyDescent="0.3">
      <c r="A101" s="38" t="s">
        <v>210</v>
      </c>
      <c r="B101" s="38" t="s">
        <v>97</v>
      </c>
      <c r="C101" s="38" t="s">
        <v>223</v>
      </c>
      <c r="D101" s="38"/>
      <c r="E101" s="133"/>
      <c r="F101" s="37"/>
      <c r="G101" s="133">
        <v>44245</v>
      </c>
      <c r="H101" s="133"/>
    </row>
    <row r="102" spans="1:8" s="27" customFormat="1" ht="22.15" hidden="1" customHeight="1" outlineLevel="2" x14ac:dyDescent="0.3">
      <c r="A102" s="38" t="s">
        <v>210</v>
      </c>
      <c r="B102" s="38" t="s">
        <v>97</v>
      </c>
      <c r="C102" s="38" t="s">
        <v>224</v>
      </c>
      <c r="D102" s="38"/>
      <c r="E102" s="133" t="s">
        <v>225</v>
      </c>
      <c r="F102" s="37"/>
      <c r="G102" s="133" t="s">
        <v>226</v>
      </c>
      <c r="H102" s="133"/>
    </row>
    <row r="103" spans="1:8" s="27" customFormat="1" ht="22.15" hidden="1" customHeight="1" outlineLevel="2" x14ac:dyDescent="0.3">
      <c r="A103" s="38" t="s">
        <v>210</v>
      </c>
      <c r="B103" s="38" t="s">
        <v>97</v>
      </c>
      <c r="C103" s="38" t="s">
        <v>227</v>
      </c>
      <c r="D103" s="38"/>
      <c r="E103" s="133" t="s">
        <v>225</v>
      </c>
      <c r="F103" s="37"/>
      <c r="G103" s="133" t="s">
        <v>226</v>
      </c>
      <c r="H103" s="133"/>
    </row>
    <row r="104" spans="1:8" s="27" customFormat="1" ht="22.15" hidden="1" customHeight="1" outlineLevel="2" x14ac:dyDescent="0.3">
      <c r="A104" s="38" t="s">
        <v>210</v>
      </c>
      <c r="B104" s="38" t="s">
        <v>91</v>
      </c>
      <c r="C104" s="38" t="s">
        <v>209</v>
      </c>
      <c r="D104" s="38"/>
      <c r="E104" s="133"/>
      <c r="F104" s="37"/>
      <c r="G104" s="133" t="s">
        <v>226</v>
      </c>
      <c r="H104" s="133"/>
    </row>
    <row r="105" spans="1:8" s="27" customFormat="1" ht="22.15" hidden="1" customHeight="1" outlineLevel="2" x14ac:dyDescent="0.3">
      <c r="A105" s="200" t="s">
        <v>210</v>
      </c>
      <c r="B105" s="200" t="s">
        <v>104</v>
      </c>
      <c r="C105" s="200" t="s">
        <v>105</v>
      </c>
      <c r="D105" s="200"/>
      <c r="E105" s="201"/>
      <c r="F105" s="202"/>
      <c r="G105" s="201" t="s">
        <v>228</v>
      </c>
      <c r="H105" s="201"/>
    </row>
    <row r="106" spans="1:8" s="205" customFormat="1" ht="22.15" customHeight="1" collapsed="1" x14ac:dyDescent="0.3">
      <c r="A106" s="95" t="s">
        <v>229</v>
      </c>
      <c r="B106" s="95" t="s">
        <v>230</v>
      </c>
      <c r="C106" s="95"/>
      <c r="D106" s="95"/>
      <c r="E106" s="95"/>
      <c r="F106" s="95"/>
      <c r="G106" s="95"/>
      <c r="H106" s="222">
        <v>44406</v>
      </c>
    </row>
    <row r="107" spans="1:8" ht="22.15" hidden="1" customHeight="1" outlineLevel="1" x14ac:dyDescent="0.3">
      <c r="A107" s="227" t="s">
        <v>229</v>
      </c>
      <c r="B107" s="227" t="s">
        <v>97</v>
      </c>
      <c r="C107" s="227" t="s">
        <v>98</v>
      </c>
      <c r="D107" s="227"/>
      <c r="E107" s="228" t="s">
        <v>231</v>
      </c>
      <c r="F107" s="228" t="s">
        <v>83</v>
      </c>
      <c r="G107" s="228" t="s">
        <v>232</v>
      </c>
      <c r="H107" s="225"/>
    </row>
    <row r="108" spans="1:8" ht="22.15" hidden="1" customHeight="1" outlineLevel="1" x14ac:dyDescent="0.3">
      <c r="A108" s="216" t="s">
        <v>229</v>
      </c>
      <c r="B108" s="216" t="s">
        <v>80</v>
      </c>
      <c r="C108" s="216" t="s">
        <v>81</v>
      </c>
      <c r="D108" s="216"/>
      <c r="E108" s="217" t="s">
        <v>233</v>
      </c>
      <c r="F108" s="217" t="s">
        <v>166</v>
      </c>
      <c r="G108" s="217"/>
      <c r="H108" s="217"/>
    </row>
    <row r="109" spans="1:8" ht="22.15" hidden="1" customHeight="1" outlineLevel="1" x14ac:dyDescent="0.3">
      <c r="A109" s="218" t="s">
        <v>229</v>
      </c>
      <c r="B109" s="218" t="s">
        <v>97</v>
      </c>
      <c r="C109" s="226" t="s">
        <v>234</v>
      </c>
      <c r="D109" s="226"/>
      <c r="E109" s="217"/>
      <c r="F109" s="217"/>
      <c r="G109" s="217"/>
      <c r="H109" s="217"/>
    </row>
    <row r="110" spans="1:8" ht="22.15" hidden="1" customHeight="1" outlineLevel="1" x14ac:dyDescent="0.3">
      <c r="A110" s="216" t="s">
        <v>229</v>
      </c>
      <c r="B110" s="216" t="s">
        <v>97</v>
      </c>
      <c r="C110" s="216" t="s">
        <v>227</v>
      </c>
      <c r="D110" s="216"/>
      <c r="E110" s="217" t="s">
        <v>235</v>
      </c>
      <c r="F110" s="217"/>
      <c r="G110" s="217" t="s">
        <v>236</v>
      </c>
      <c r="H110" s="217"/>
    </row>
    <row r="111" spans="1:8" ht="22.15" hidden="1" customHeight="1" outlineLevel="1" x14ac:dyDescent="0.3">
      <c r="A111" s="216" t="s">
        <v>229</v>
      </c>
      <c r="B111" s="216" t="s">
        <v>97</v>
      </c>
      <c r="C111" s="216" t="s">
        <v>110</v>
      </c>
      <c r="D111" s="216"/>
      <c r="E111" s="217" t="s">
        <v>237</v>
      </c>
      <c r="F111" s="217"/>
      <c r="G111" s="217" t="s">
        <v>238</v>
      </c>
      <c r="H111" s="217"/>
    </row>
    <row r="112" spans="1:8" ht="22.15" hidden="1" customHeight="1" outlineLevel="1" x14ac:dyDescent="0.3">
      <c r="A112" s="216" t="s">
        <v>229</v>
      </c>
      <c r="B112" s="216" t="s">
        <v>239</v>
      </c>
      <c r="C112" s="216" t="s">
        <v>209</v>
      </c>
      <c r="D112" s="216"/>
      <c r="E112" s="217" t="s">
        <v>240</v>
      </c>
      <c r="F112" s="217"/>
      <c r="G112" s="217" t="s">
        <v>236</v>
      </c>
      <c r="H112" s="217"/>
    </row>
    <row r="113" spans="1:8" ht="22.15" hidden="1" customHeight="1" outlineLevel="1" x14ac:dyDescent="0.3">
      <c r="A113" s="218" t="s">
        <v>229</v>
      </c>
      <c r="B113" s="218" t="s">
        <v>85</v>
      </c>
      <c r="C113" s="218" t="s">
        <v>86</v>
      </c>
      <c r="D113" s="218"/>
      <c r="E113" s="219" t="s">
        <v>241</v>
      </c>
      <c r="F113" s="219"/>
      <c r="G113" s="219"/>
      <c r="H113" s="219"/>
    </row>
    <row r="114" spans="1:8" ht="22.15" hidden="1" customHeight="1" outlineLevel="1" x14ac:dyDescent="0.3">
      <c r="A114" s="242" t="s">
        <v>229</v>
      </c>
      <c r="B114" s="242" t="s">
        <v>80</v>
      </c>
      <c r="C114" s="242" t="s">
        <v>81</v>
      </c>
      <c r="D114" s="242"/>
      <c r="E114" s="243" t="s">
        <v>242</v>
      </c>
      <c r="F114" s="243" t="s">
        <v>83</v>
      </c>
      <c r="G114" s="243" t="s">
        <v>243</v>
      </c>
      <c r="H114" s="243"/>
    </row>
    <row r="115" spans="1:8" s="204" customFormat="1" ht="22.15" customHeight="1" collapsed="1" x14ac:dyDescent="0.3">
      <c r="A115" s="203"/>
      <c r="B115" s="203" t="s">
        <v>244</v>
      </c>
      <c r="C115" s="203"/>
      <c r="D115" s="203"/>
      <c r="E115" s="203"/>
      <c r="F115" s="203"/>
      <c r="G115" s="203"/>
      <c r="H115" s="203"/>
    </row>
    <row r="116" spans="1:8" ht="15" customHeight="1" x14ac:dyDescent="0.3">
      <c r="A116" s="235"/>
      <c r="B116" s="235" t="s">
        <v>245</v>
      </c>
      <c r="C116" s="235" t="s">
        <v>246</v>
      </c>
      <c r="D116" s="235"/>
      <c r="E116" s="236"/>
      <c r="F116" s="236" t="s">
        <v>247</v>
      </c>
      <c r="G116" s="236"/>
      <c r="H116" s="237"/>
    </row>
    <row r="117" spans="1:8" ht="15" customHeight="1" x14ac:dyDescent="0.3">
      <c r="A117" s="85"/>
      <c r="B117" s="85" t="s">
        <v>248</v>
      </c>
      <c r="C117" s="85" t="s">
        <v>249</v>
      </c>
    </row>
  </sheetData>
  <autoFilter ref="A1:I117" xr:uid="{CF2F804D-961B-4679-A504-992FF6202E47}"/>
  <phoneticPr fontId="23" type="noConversion"/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134F-176C-4B2A-AC7C-01AA01B2703C}">
  <dimension ref="A1:J32"/>
  <sheetViews>
    <sheetView zoomScale="85" zoomScaleNormal="85" workbookViewId="0">
      <selection activeCell="C14" sqref="C14"/>
    </sheetView>
  </sheetViews>
  <sheetFormatPr defaultColWidth="8.75" defaultRowHeight="16.5" x14ac:dyDescent="0.3"/>
  <cols>
    <col min="1" max="1" width="15.75" customWidth="1"/>
    <col min="2" max="2" width="27.5" customWidth="1"/>
    <col min="3" max="3" width="31.375" customWidth="1"/>
    <col min="4" max="4" width="66.75" customWidth="1"/>
    <col min="5" max="5" width="31.375" customWidth="1"/>
    <col min="6" max="6" width="13.75" customWidth="1"/>
    <col min="7" max="7" width="31.375" customWidth="1"/>
    <col min="8" max="8" width="15.125" customWidth="1"/>
    <col min="10" max="10" width="73.75" customWidth="1"/>
  </cols>
  <sheetData>
    <row r="1" spans="1:10" s="199" customFormat="1" ht="33" x14ac:dyDescent="0.3">
      <c r="A1" s="206" t="s">
        <v>250</v>
      </c>
      <c r="B1" s="206" t="s">
        <v>251</v>
      </c>
      <c r="C1" s="206" t="s">
        <v>72</v>
      </c>
      <c r="D1" s="206" t="s">
        <v>252</v>
      </c>
      <c r="E1" s="206"/>
      <c r="F1" s="206" t="s">
        <v>253</v>
      </c>
      <c r="G1" s="206" t="s">
        <v>254</v>
      </c>
      <c r="H1" s="206" t="s">
        <v>255</v>
      </c>
      <c r="I1" s="207"/>
      <c r="J1" s="208" t="s">
        <v>256</v>
      </c>
    </row>
    <row r="2" spans="1:10" ht="33" x14ac:dyDescent="0.3">
      <c r="A2" s="207" t="s">
        <v>257</v>
      </c>
      <c r="B2" s="207" t="s">
        <v>97</v>
      </c>
      <c r="C2" s="207" t="s">
        <v>118</v>
      </c>
      <c r="D2" s="208" t="s">
        <v>258</v>
      </c>
      <c r="E2" s="208" t="s">
        <v>259</v>
      </c>
      <c r="F2" s="207" t="s">
        <v>82</v>
      </c>
      <c r="G2" s="207">
        <v>1</v>
      </c>
      <c r="H2" s="207">
        <v>45</v>
      </c>
      <c r="I2" s="207"/>
      <c r="J2" s="207"/>
    </row>
    <row r="3" spans="1:10" ht="33" x14ac:dyDescent="0.3">
      <c r="A3" s="207" t="s">
        <v>257</v>
      </c>
      <c r="B3" s="207" t="s">
        <v>97</v>
      </c>
      <c r="C3" s="207" t="s">
        <v>260</v>
      </c>
      <c r="D3" s="208" t="s">
        <v>258</v>
      </c>
      <c r="E3" s="208" t="s">
        <v>259</v>
      </c>
      <c r="F3" s="207" t="s">
        <v>93</v>
      </c>
      <c r="G3" s="207">
        <v>1</v>
      </c>
      <c r="H3" s="207"/>
      <c r="I3" s="207"/>
      <c r="J3" s="207"/>
    </row>
    <row r="4" spans="1:10" ht="33" x14ac:dyDescent="0.3">
      <c r="A4" s="207" t="s">
        <v>257</v>
      </c>
      <c r="B4" s="207" t="s">
        <v>97</v>
      </c>
      <c r="C4" s="207" t="s">
        <v>261</v>
      </c>
      <c r="D4" s="208" t="s">
        <v>258</v>
      </c>
      <c r="E4" s="208" t="s">
        <v>262</v>
      </c>
      <c r="F4" s="207" t="s">
        <v>93</v>
      </c>
      <c r="G4" s="207">
        <v>1</v>
      </c>
      <c r="H4" s="207" t="s">
        <v>263</v>
      </c>
      <c r="I4" s="207"/>
      <c r="J4" s="208" t="s">
        <v>264</v>
      </c>
    </row>
    <row r="5" spans="1:10" ht="33" x14ac:dyDescent="0.3">
      <c r="A5" s="207" t="s">
        <v>257</v>
      </c>
      <c r="B5" s="207" t="s">
        <v>97</v>
      </c>
      <c r="C5" s="207" t="s">
        <v>265</v>
      </c>
      <c r="D5" s="208" t="s">
        <v>258</v>
      </c>
      <c r="E5" s="208" t="s">
        <v>259</v>
      </c>
      <c r="F5" s="207" t="s">
        <v>93</v>
      </c>
      <c r="G5" s="207">
        <v>1</v>
      </c>
      <c r="H5" s="207"/>
      <c r="I5" s="207"/>
      <c r="J5" s="207"/>
    </row>
    <row r="6" spans="1:10" ht="33" x14ac:dyDescent="0.3">
      <c r="A6" s="207" t="s">
        <v>266</v>
      </c>
      <c r="B6" s="207" t="s">
        <v>97</v>
      </c>
      <c r="C6" s="207" t="s">
        <v>267</v>
      </c>
      <c r="D6" s="208" t="s">
        <v>258</v>
      </c>
      <c r="E6" s="208" t="s">
        <v>259</v>
      </c>
      <c r="F6" s="207" t="s">
        <v>93</v>
      </c>
      <c r="G6" s="207">
        <v>1</v>
      </c>
      <c r="H6" s="207"/>
      <c r="I6" s="207"/>
      <c r="J6" s="207"/>
    </row>
    <row r="7" spans="1:10" x14ac:dyDescent="0.3">
      <c r="A7" s="207" t="s">
        <v>55</v>
      </c>
      <c r="B7" s="207" t="s">
        <v>91</v>
      </c>
      <c r="C7" s="207" t="s">
        <v>177</v>
      </c>
      <c r="D7" s="208" t="s">
        <v>268</v>
      </c>
      <c r="E7" s="208"/>
      <c r="F7" s="207" t="s">
        <v>93</v>
      </c>
      <c r="G7" s="207">
        <v>1</v>
      </c>
      <c r="H7" s="207"/>
      <c r="I7" s="207"/>
      <c r="J7" s="207"/>
    </row>
    <row r="8" spans="1:10" x14ac:dyDescent="0.3">
      <c r="A8" s="207" t="s">
        <v>269</v>
      </c>
      <c r="B8" s="207" t="s">
        <v>91</v>
      </c>
      <c r="C8" s="207" t="s">
        <v>270</v>
      </c>
      <c r="D8" s="208" t="s">
        <v>268</v>
      </c>
      <c r="E8" s="208"/>
      <c r="F8" s="207" t="s">
        <v>93</v>
      </c>
      <c r="G8" s="207">
        <v>1</v>
      </c>
      <c r="H8" s="207"/>
      <c r="I8" s="207"/>
      <c r="J8" s="207"/>
    </row>
    <row r="9" spans="1:10" x14ac:dyDescent="0.3">
      <c r="A9" s="207" t="s">
        <v>55</v>
      </c>
      <c r="B9" s="207" t="s">
        <v>91</v>
      </c>
      <c r="C9" s="207" t="s">
        <v>271</v>
      </c>
      <c r="D9" s="208" t="s">
        <v>268</v>
      </c>
      <c r="E9" s="208"/>
      <c r="F9" s="207" t="s">
        <v>93</v>
      </c>
      <c r="G9" s="207">
        <v>1</v>
      </c>
      <c r="H9" s="207"/>
      <c r="I9" s="207"/>
      <c r="J9" s="207"/>
    </row>
    <row r="10" spans="1:10" x14ac:dyDescent="0.3">
      <c r="A10" s="207" t="s">
        <v>55</v>
      </c>
      <c r="B10" s="207" t="s">
        <v>104</v>
      </c>
      <c r="C10" s="207" t="s">
        <v>105</v>
      </c>
      <c r="D10" s="207" t="s">
        <v>272</v>
      </c>
      <c r="E10" s="207"/>
      <c r="F10" s="207" t="s">
        <v>93</v>
      </c>
      <c r="G10" s="207">
        <v>1</v>
      </c>
      <c r="H10" s="207"/>
      <c r="I10" s="207"/>
      <c r="J10" s="207"/>
    </row>
    <row r="11" spans="1:10" ht="30.75" x14ac:dyDescent="0.3">
      <c r="A11" s="207" t="s">
        <v>55</v>
      </c>
      <c r="B11" s="207" t="s">
        <v>273</v>
      </c>
      <c r="C11" s="207" t="s">
        <v>274</v>
      </c>
      <c r="D11" s="208" t="s">
        <v>275</v>
      </c>
      <c r="E11" s="208"/>
      <c r="F11" s="207" t="s">
        <v>82</v>
      </c>
      <c r="G11" s="207">
        <v>1</v>
      </c>
      <c r="H11" s="207"/>
      <c r="I11" s="207"/>
      <c r="J11" s="207"/>
    </row>
    <row r="12" spans="1:10" ht="30.75" x14ac:dyDescent="0.3">
      <c r="A12" s="207" t="s">
        <v>257</v>
      </c>
      <c r="B12" s="207" t="s">
        <v>276</v>
      </c>
      <c r="C12" s="207" t="s">
        <v>274</v>
      </c>
      <c r="D12" s="208" t="s">
        <v>277</v>
      </c>
      <c r="E12" s="208"/>
      <c r="F12" s="207" t="s">
        <v>82</v>
      </c>
      <c r="G12" s="207"/>
      <c r="H12" s="207"/>
      <c r="I12" s="207"/>
      <c r="J12" s="207"/>
    </row>
    <row r="13" spans="1:10" x14ac:dyDescent="0.3">
      <c r="A13" s="207" t="s">
        <v>257</v>
      </c>
      <c r="B13" s="207" t="s">
        <v>97</v>
      </c>
      <c r="C13" s="207" t="s">
        <v>278</v>
      </c>
      <c r="D13" s="208" t="s">
        <v>258</v>
      </c>
      <c r="E13" s="208"/>
      <c r="F13" s="207" t="s">
        <v>93</v>
      </c>
      <c r="G13" s="207">
        <v>2</v>
      </c>
      <c r="H13" s="207"/>
      <c r="I13" s="207"/>
      <c r="J13" s="207"/>
    </row>
    <row r="14" spans="1:10" ht="33" x14ac:dyDescent="0.3">
      <c r="A14" s="207" t="s">
        <v>55</v>
      </c>
      <c r="B14" s="207" t="s">
        <v>248</v>
      </c>
      <c r="C14" s="208" t="s">
        <v>279</v>
      </c>
      <c r="D14" s="208"/>
      <c r="E14" s="208"/>
      <c r="F14" s="207" t="s">
        <v>93</v>
      </c>
      <c r="G14" s="208">
        <v>2</v>
      </c>
      <c r="H14" s="229" t="s">
        <v>280</v>
      </c>
      <c r="I14" s="207"/>
      <c r="J14" s="207"/>
    </row>
    <row r="15" spans="1:10" ht="49.5" x14ac:dyDescent="0.3">
      <c r="A15" s="207" t="s">
        <v>55</v>
      </c>
      <c r="B15" s="207" t="s">
        <v>248</v>
      </c>
      <c r="C15" s="208" t="s">
        <v>281</v>
      </c>
      <c r="D15" s="208"/>
      <c r="E15" s="208"/>
      <c r="F15" s="207" t="s">
        <v>93</v>
      </c>
      <c r="G15" s="208">
        <v>2</v>
      </c>
      <c r="H15" s="229" t="s">
        <v>280</v>
      </c>
      <c r="I15" s="207"/>
      <c r="J15" s="207"/>
    </row>
    <row r="16" spans="1:10" x14ac:dyDescent="0.3">
      <c r="A16" s="207" t="s">
        <v>55</v>
      </c>
      <c r="B16" s="207" t="s">
        <v>91</v>
      </c>
      <c r="C16" s="207" t="s">
        <v>282</v>
      </c>
      <c r="D16" s="208" t="s">
        <v>268</v>
      </c>
      <c r="E16" s="208"/>
      <c r="F16" s="207" t="s">
        <v>93</v>
      </c>
      <c r="G16" s="207">
        <v>2</v>
      </c>
      <c r="H16" s="207"/>
      <c r="I16" s="207"/>
      <c r="J16" s="207"/>
    </row>
    <row r="17" spans="1:10" x14ac:dyDescent="0.3">
      <c r="A17" s="207" t="s">
        <v>257</v>
      </c>
      <c r="B17" s="207" t="s">
        <v>97</v>
      </c>
      <c r="C17" s="207" t="s">
        <v>283</v>
      </c>
      <c r="D17" s="208" t="s">
        <v>258</v>
      </c>
      <c r="E17" s="208"/>
      <c r="F17" s="207" t="s">
        <v>82</v>
      </c>
      <c r="G17" s="207">
        <v>3</v>
      </c>
      <c r="H17" s="207">
        <v>90</v>
      </c>
      <c r="I17" s="207"/>
      <c r="J17" s="207"/>
    </row>
    <row r="18" spans="1:10" ht="30.75" x14ac:dyDescent="0.3">
      <c r="A18" s="207" t="s">
        <v>284</v>
      </c>
      <c r="B18" s="207" t="s">
        <v>125</v>
      </c>
      <c r="C18" s="207" t="s">
        <v>126</v>
      </c>
      <c r="D18" s="207"/>
      <c r="E18" s="207"/>
      <c r="F18" s="207" t="s">
        <v>93</v>
      </c>
      <c r="G18" s="207">
        <v>3</v>
      </c>
      <c r="H18" s="207"/>
      <c r="I18" s="207"/>
      <c r="J18" s="207"/>
    </row>
    <row r="19" spans="1:10" x14ac:dyDescent="0.3">
      <c r="A19" s="207" t="s">
        <v>55</v>
      </c>
      <c r="B19" s="207" t="s">
        <v>285</v>
      </c>
      <c r="C19" s="207" t="s">
        <v>286</v>
      </c>
      <c r="D19" s="208" t="s">
        <v>287</v>
      </c>
      <c r="E19" s="207"/>
      <c r="F19" s="207" t="s">
        <v>82</v>
      </c>
      <c r="G19" s="207">
        <v>3</v>
      </c>
      <c r="H19" s="207"/>
      <c r="I19" s="207"/>
      <c r="J19" s="207"/>
    </row>
    <row r="20" spans="1:10" x14ac:dyDescent="0.3">
      <c r="A20" s="207" t="s">
        <v>55</v>
      </c>
      <c r="B20" s="207" t="s">
        <v>288</v>
      </c>
      <c r="C20" s="207" t="s">
        <v>289</v>
      </c>
      <c r="D20" s="207"/>
      <c r="E20" s="207"/>
      <c r="F20" s="207" t="s">
        <v>93</v>
      </c>
      <c r="G20" s="207">
        <v>3</v>
      </c>
      <c r="H20" s="207"/>
      <c r="I20" s="207"/>
      <c r="J20" s="207"/>
    </row>
    <row r="21" spans="1:10" ht="33" x14ac:dyDescent="0.3">
      <c r="A21" s="207" t="s">
        <v>55</v>
      </c>
      <c r="B21" s="207" t="s">
        <v>149</v>
      </c>
      <c r="C21" s="207" t="s">
        <v>290</v>
      </c>
      <c r="D21" s="208" t="s">
        <v>291</v>
      </c>
      <c r="E21" s="208"/>
      <c r="F21" s="207" t="s">
        <v>82</v>
      </c>
      <c r="G21" s="207">
        <v>3</v>
      </c>
      <c r="H21" s="207">
        <v>365</v>
      </c>
      <c r="I21" s="207"/>
      <c r="J21" s="207"/>
    </row>
    <row r="22" spans="1:10" x14ac:dyDescent="0.3">
      <c r="A22" s="207" t="s">
        <v>284</v>
      </c>
      <c r="B22" s="207" t="s">
        <v>292</v>
      </c>
      <c r="C22" s="207" t="s">
        <v>293</v>
      </c>
      <c r="D22" s="207"/>
      <c r="E22" s="207"/>
      <c r="F22" s="207" t="s">
        <v>82</v>
      </c>
      <c r="G22" s="207">
        <v>4</v>
      </c>
      <c r="H22" s="207"/>
      <c r="I22" s="207"/>
      <c r="J22" s="207"/>
    </row>
    <row r="23" spans="1:10" ht="33" x14ac:dyDescent="0.3">
      <c r="A23" s="207" t="s">
        <v>55</v>
      </c>
      <c r="B23" s="207" t="s">
        <v>97</v>
      </c>
      <c r="C23" s="207" t="s">
        <v>294</v>
      </c>
      <c r="D23" s="208" t="s">
        <v>258</v>
      </c>
      <c r="E23" s="208" t="s">
        <v>262</v>
      </c>
      <c r="F23" s="207" t="s">
        <v>82</v>
      </c>
      <c r="G23" s="207">
        <v>5</v>
      </c>
      <c r="H23" s="207">
        <v>180</v>
      </c>
      <c r="I23" s="207"/>
      <c r="J23" s="207"/>
    </row>
    <row r="24" spans="1:10" x14ac:dyDescent="0.3">
      <c r="A24" s="207" t="s">
        <v>284</v>
      </c>
      <c r="B24" s="207" t="s">
        <v>292</v>
      </c>
      <c r="C24" s="207" t="s">
        <v>295</v>
      </c>
      <c r="D24" s="207"/>
      <c r="E24" s="207"/>
      <c r="F24" s="207" t="s">
        <v>82</v>
      </c>
      <c r="G24" s="207">
        <v>5</v>
      </c>
      <c r="H24" s="207"/>
      <c r="I24" s="207"/>
      <c r="J24" s="207"/>
    </row>
    <row r="25" spans="1:10" ht="30.75" x14ac:dyDescent="0.3">
      <c r="A25" s="207" t="s">
        <v>55</v>
      </c>
      <c r="B25" s="207" t="s">
        <v>80</v>
      </c>
      <c r="C25" s="207" t="s">
        <v>185</v>
      </c>
      <c r="D25" s="207"/>
      <c r="E25" s="207"/>
      <c r="F25" s="207" t="s">
        <v>296</v>
      </c>
      <c r="G25" s="207">
        <v>1</v>
      </c>
      <c r="H25" s="207"/>
      <c r="I25" s="207"/>
      <c r="J25" s="207"/>
    </row>
    <row r="26" spans="1:10" x14ac:dyDescent="0.3">
      <c r="A26" s="207" t="s">
        <v>55</v>
      </c>
      <c r="B26" s="207" t="s">
        <v>297</v>
      </c>
      <c r="C26" s="207" t="s">
        <v>298</v>
      </c>
      <c r="D26" s="208" t="s">
        <v>299</v>
      </c>
      <c r="E26" s="207" t="s">
        <v>300</v>
      </c>
      <c r="F26" s="207" t="s">
        <v>82</v>
      </c>
      <c r="G26" s="207">
        <v>1</v>
      </c>
      <c r="H26" s="207"/>
      <c r="I26" s="207"/>
      <c r="J26" s="207"/>
    </row>
    <row r="27" spans="1:10" ht="30.75" x14ac:dyDescent="0.3">
      <c r="A27" s="207" t="s">
        <v>284</v>
      </c>
      <c r="B27" s="207" t="s">
        <v>135</v>
      </c>
      <c r="C27" s="207" t="s">
        <v>301</v>
      </c>
      <c r="D27" s="207"/>
      <c r="E27" s="207"/>
      <c r="F27" s="207" t="s">
        <v>93</v>
      </c>
      <c r="G27" s="207">
        <v>2</v>
      </c>
      <c r="H27" s="207"/>
      <c r="I27" s="207"/>
      <c r="J27" s="207"/>
    </row>
    <row r="28" spans="1:10" x14ac:dyDescent="0.3">
      <c r="A28" s="207" t="s">
        <v>284</v>
      </c>
      <c r="B28" s="207" t="s">
        <v>121</v>
      </c>
      <c r="C28" s="207" t="s">
        <v>122</v>
      </c>
      <c r="D28" s="207"/>
      <c r="E28" s="207"/>
      <c r="F28" s="207" t="s">
        <v>93</v>
      </c>
      <c r="G28" s="207">
        <v>2</v>
      </c>
      <c r="H28" s="207"/>
      <c r="I28" s="207"/>
      <c r="J28" s="207"/>
    </row>
    <row r="29" spans="1:10" x14ac:dyDescent="0.3">
      <c r="A29" s="207" t="s">
        <v>55</v>
      </c>
      <c r="B29" s="207" t="s">
        <v>302</v>
      </c>
      <c r="C29" s="207" t="s">
        <v>246</v>
      </c>
      <c r="D29" s="208" t="s">
        <v>303</v>
      </c>
      <c r="E29" s="208"/>
      <c r="F29" s="207" t="s">
        <v>82</v>
      </c>
      <c r="G29" s="207">
        <v>3</v>
      </c>
      <c r="H29" s="207"/>
      <c r="I29" s="207"/>
      <c r="J29" s="207"/>
    </row>
    <row r="30" spans="1:10" x14ac:dyDescent="0.3">
      <c r="A30" s="207" t="s">
        <v>55</v>
      </c>
      <c r="B30" s="207" t="s">
        <v>304</v>
      </c>
      <c r="C30" s="207" t="s">
        <v>305</v>
      </c>
      <c r="D30" s="208" t="s">
        <v>268</v>
      </c>
      <c r="E30" s="208"/>
      <c r="F30" s="207" t="s">
        <v>93</v>
      </c>
      <c r="G30" s="207">
        <v>3</v>
      </c>
      <c r="H30" s="207"/>
      <c r="I30" s="207"/>
      <c r="J30" s="207"/>
    </row>
    <row r="31" spans="1:10" x14ac:dyDescent="0.3">
      <c r="A31" s="207" t="s">
        <v>55</v>
      </c>
      <c r="B31" s="207" t="s">
        <v>306</v>
      </c>
      <c r="C31" s="207" t="s">
        <v>307</v>
      </c>
      <c r="D31" s="207"/>
      <c r="E31" s="207"/>
      <c r="F31" s="207" t="s">
        <v>82</v>
      </c>
      <c r="G31" s="207">
        <v>4</v>
      </c>
      <c r="H31" s="207"/>
      <c r="I31" s="207"/>
      <c r="J31" s="207"/>
    </row>
    <row r="32" spans="1:10" x14ac:dyDescent="0.3">
      <c r="A32" s="207" t="s">
        <v>308</v>
      </c>
      <c r="B32" s="207" t="s">
        <v>306</v>
      </c>
      <c r="C32" s="207" t="s">
        <v>309</v>
      </c>
      <c r="D32" s="207"/>
      <c r="E32" s="207"/>
      <c r="F32" s="207" t="s">
        <v>82</v>
      </c>
      <c r="G32" s="207">
        <v>4</v>
      </c>
      <c r="H32" s="207"/>
      <c r="I32" s="207"/>
      <c r="J32" s="207"/>
    </row>
  </sheetData>
  <sortState xmlns:xlrd2="http://schemas.microsoft.com/office/spreadsheetml/2017/richdata2" ref="B2:H32">
    <sortCondition ref="G2:G32"/>
  </sortState>
  <hyperlinks>
    <hyperlink ref="C14" r:id="rId1" xr:uid="{B7A4A00B-D9DB-4A00-9C77-B0E720A5F46E}"/>
    <hyperlink ref="C15" r:id="rId2" xr:uid="{F5571892-8C24-475A-AE5A-9D9B0DE14680}"/>
    <hyperlink ref="J1" r:id="rId3" xr:uid="{EF0E5BA9-9223-4B2E-B6E2-129636146C62}"/>
    <hyperlink ref="D7" r:id="rId4" xr:uid="{563E936A-395B-4C03-B88F-7D5C56E28B24}"/>
    <hyperlink ref="D8" r:id="rId5" xr:uid="{EA932D2B-40F7-46DB-A836-200582F9E94F}"/>
    <hyperlink ref="D9" r:id="rId6" xr:uid="{4CC01E54-BC76-40A6-BBEB-90EBA7A571EC}"/>
    <hyperlink ref="D30" r:id="rId7" xr:uid="{B4D0A3D6-96B7-4795-AB31-F14A5E45BFC5}"/>
    <hyperlink ref="D16" r:id="rId8" xr:uid="{BAD8EE03-FF48-4918-872B-E42D9F873BA6}"/>
    <hyperlink ref="D29" r:id="rId9" location="/Doc_Library/" xr:uid="{9E006D99-6292-4419-B963-322939FB90AF}"/>
    <hyperlink ref="D21" r:id="rId10" display="https://luc.hawaii.gov/" xr:uid="{3D658AB6-6E00-4066-A523-E18BE3AF407A}"/>
    <hyperlink ref="D11" r:id="rId11" xr:uid="{A4D4AF17-D870-44C6-B902-922F306CF729}"/>
    <hyperlink ref="D13" r:id="rId12" xr:uid="{60CF01AC-8CCE-4762-B2E6-25BE5CF820CE}"/>
    <hyperlink ref="D17" r:id="rId13" xr:uid="{E3DE9861-87E7-4A85-8F1C-6AB39EEF40DB}"/>
    <hyperlink ref="D23" r:id="rId14" xr:uid="{BC0FF48A-8034-45B6-8FE7-1A2A50270B60}"/>
    <hyperlink ref="D2" r:id="rId15" xr:uid="{FD90FFBC-9D83-4D80-A75A-44D36AD29D80}"/>
    <hyperlink ref="D3" r:id="rId16" xr:uid="{D6A2A6F0-3665-446B-9354-4DB9C2BD56F0}"/>
    <hyperlink ref="D4" r:id="rId17" xr:uid="{F60BF816-2028-4BAF-AE83-B6452108161B}"/>
    <hyperlink ref="D5" r:id="rId18" xr:uid="{592AFADA-3761-461E-98C4-F6FFDDE2F85F}"/>
    <hyperlink ref="D6" r:id="rId19" xr:uid="{14276CE6-B952-4C0F-9F8A-EC0B6CD1CB17}"/>
    <hyperlink ref="D26" r:id="rId20" xr:uid="{DDC7CC06-48EB-452D-A686-9ADA71D02E93}"/>
    <hyperlink ref="D19" r:id="rId21" xr:uid="{A1D2BC4C-FDC7-47A7-811F-B3E3A306B87A}"/>
    <hyperlink ref="J4" r:id="rId22" xr:uid="{43152C4C-ABC4-4D1F-BE4A-6E521A4D2269}"/>
  </hyperlinks>
  <pageMargins left="0.7" right="0.7" top="0.75" bottom="0.75" header="0.3" footer="0.3"/>
  <pageSetup orientation="portrait" horizontalDpi="1200" verticalDpi="1200" r:id="rId23"/>
  <legacyDrawing r:id="rId2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9E77-DDB0-40AA-B506-022A39AB14A2}">
  <dimension ref="A1:B9"/>
  <sheetViews>
    <sheetView workbookViewId="0">
      <selection sqref="A1:B9"/>
    </sheetView>
  </sheetViews>
  <sheetFormatPr defaultRowHeight="16.5" x14ac:dyDescent="0.3"/>
  <cols>
    <col min="1" max="1" width="32.75" customWidth="1"/>
    <col min="2" max="2" width="58.25" customWidth="1"/>
  </cols>
  <sheetData>
    <row r="1" spans="1:2" x14ac:dyDescent="0.3">
      <c r="A1" t="s">
        <v>310</v>
      </c>
      <c r="B1" s="261" t="s">
        <v>311</v>
      </c>
    </row>
    <row r="2" spans="1:2" x14ac:dyDescent="0.3">
      <c r="A2" t="s">
        <v>312</v>
      </c>
      <c r="B2" s="262" t="s">
        <v>313</v>
      </c>
    </row>
    <row r="3" spans="1:2" x14ac:dyDescent="0.3">
      <c r="A3" t="s">
        <v>314</v>
      </c>
      <c r="B3" s="261">
        <v>192002007</v>
      </c>
    </row>
    <row r="4" spans="1:2" ht="15" customHeight="1" x14ac:dyDescent="0.3">
      <c r="A4" t="s">
        <v>315</v>
      </c>
      <c r="B4" s="261">
        <v>194002052</v>
      </c>
    </row>
    <row r="5" spans="1:2" ht="19.899999999999999" customHeight="1" x14ac:dyDescent="0.3">
      <c r="A5" t="s">
        <v>316</v>
      </c>
      <c r="B5" s="261">
        <v>191014042</v>
      </c>
    </row>
    <row r="6" spans="1:2" x14ac:dyDescent="0.3">
      <c r="A6" t="s">
        <v>68</v>
      </c>
      <c r="B6" s="262" t="s">
        <v>317</v>
      </c>
    </row>
    <row r="7" spans="1:2" x14ac:dyDescent="0.3">
      <c r="A7" t="s">
        <v>318</v>
      </c>
      <c r="B7" s="261" t="s">
        <v>319</v>
      </c>
    </row>
    <row r="8" spans="1:2" x14ac:dyDescent="0.3">
      <c r="A8" t="s">
        <v>320</v>
      </c>
      <c r="B8" s="262" t="s">
        <v>321</v>
      </c>
    </row>
    <row r="9" spans="1:2" ht="33" customHeight="1" x14ac:dyDescent="0.3">
      <c r="A9" t="s">
        <v>322</v>
      </c>
      <c r="B9" s="261">
        <v>196004024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C353DD6D6504092C4D2C59250B68D" ma:contentTypeVersion="16" ma:contentTypeDescription="Create a new document." ma:contentTypeScope="" ma:versionID="abad343a534b0707f50c716c821199cc">
  <xsd:schema xmlns:xsd="http://www.w3.org/2001/XMLSchema" xmlns:xs="http://www.w3.org/2001/XMLSchema" xmlns:p="http://schemas.microsoft.com/office/2006/metadata/properties" xmlns:ns2="b21d8bbe-1d54-431d-9723-392bd36a5066" xmlns:ns3="5ea67a00-16f2-46e9-b61b-e7bbbda2883f" xmlns:ns4="4494cc7c-873d-4c80-9650-25ed479db56e" targetNamespace="http://schemas.microsoft.com/office/2006/metadata/properties" ma:root="true" ma:fieldsID="c3a1346404ef2f5537c9aee180fe9ee3" ns2:_="" ns3:_="" ns4:_="">
    <xsd:import namespace="b21d8bbe-1d54-431d-9723-392bd36a5066"/>
    <xsd:import namespace="5ea67a00-16f2-46e9-b61b-e7bbbda2883f"/>
    <xsd:import namespace="4494cc7c-873d-4c80-9650-25ed479db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bbe-1d54-431d-9723-392bd36a5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c0b7209-8b30-4d9f-9476-6b035fe2b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67a00-16f2-46e9-b61b-e7bbbda2883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4cc7c-873d-4c80-9650-25ed479db56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1290c10-a888-432c-8f85-2f9dcc99d8f5}" ma:internalName="TaxCatchAll" ma:showField="CatchAllData" ma:web="5ea67a00-16f2-46e9-b61b-e7bbbda28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d8bbe-1d54-431d-9723-392bd36a5066">
      <Terms xmlns="http://schemas.microsoft.com/office/infopath/2007/PartnerControls"/>
    </lcf76f155ced4ddcb4097134ff3c332f>
    <TaxCatchAll xmlns="4494cc7c-873d-4c80-9650-25ed479db56e" xsi:nil="true"/>
    <SharedWithUsers xmlns="5ea67a00-16f2-46e9-b61b-e7bbbda2883f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E8F56-3689-4706-8FD0-684523ABB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d8bbe-1d54-431d-9723-392bd36a5066"/>
    <ds:schemaRef ds:uri="5ea67a00-16f2-46e9-b61b-e7bbbda2883f"/>
    <ds:schemaRef ds:uri="4494cc7c-873d-4c80-9650-25ed479db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D788D4-B37C-415C-8F5B-F6C6F3CB3A1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b21d8bbe-1d54-431d-9723-392bd36a5066"/>
    <ds:schemaRef ds:uri="4494cc7c-873d-4c80-9650-25ed479db56e"/>
    <ds:schemaRef ds:uri="5ea67a00-16f2-46e9-b61b-e7bbbda2883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93BB24-FA0A-4F10-98AE-1682B80A7D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847dec6-63b2-43f9-a6d0-58a40aaa1a10}" enabled="0" method="" siteId="{3847dec6-63b2-43f9-a6d0-58a40aaa1a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Charts</vt:lpstr>
      <vt:lpstr>Battery Bonus, All Islands</vt:lpstr>
      <vt:lpstr>Battery Bonus Maui</vt:lpstr>
      <vt:lpstr>Battery Bonus O'ahu</vt:lpstr>
      <vt:lpstr>Sheet1</vt:lpstr>
      <vt:lpstr>Discretionary Permits Remain</vt:lpstr>
      <vt:lpstr>TF Project Permit Details</vt:lpstr>
      <vt:lpstr>Permit References and Timelines</vt:lpstr>
      <vt:lpstr>TMKs</vt:lpstr>
      <vt:lpstr>zzz_TF Master Schedule</vt:lpstr>
      <vt:lpstr>Permit Details Demo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Cameron B. Black</dc:creator>
  <cp:keywords/>
  <dc:description/>
  <cp:lastModifiedBy>Miller, Luke F</cp:lastModifiedBy>
  <cp:revision/>
  <cp:lastPrinted>2023-12-12T23:38:53Z</cp:lastPrinted>
  <dcterms:created xsi:type="dcterms:W3CDTF">2021-04-21T19:52:14Z</dcterms:created>
  <dcterms:modified xsi:type="dcterms:W3CDTF">2024-09-04T21:15:56Z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0x010100873C353DD6D6504092C4D2C59250B68D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