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Tables/pivotTable1.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hidePivotFieldList="1"/>
  <xr:revisionPtr revIDLastSave="327" documentId="8_{D549DD3D-8010-4C89-B428-B91EED663921}" xr6:coauthVersionLast="47" xr6:coauthVersionMax="47" xr10:uidLastSave="{093C92AA-4AD2-4DD7-B901-A61262C20C34}"/>
  <bookViews>
    <workbookView xWindow="-96" yWindow="-96" windowWidth="23232" windowHeight="13872" tabRatio="845" firstSheet="7" activeTab="13" xr2:uid="{481A2598-223C-4028-A691-4887FC553EDC}"/>
  </bookViews>
  <sheets>
    <sheet name="ReadMe" sheetId="16" r:id="rId1"/>
    <sheet name="Oil_LNG_Breakdown_100-yr" sheetId="7" r:id="rId2"/>
    <sheet name="Oil_LNG_Breakdown_20-yr" sheetId="15" r:id="rId3"/>
    <sheet name="Summary - LNG-Oil" sheetId="27" r:id="rId4"/>
    <sheet name="Fuel_Specs" sheetId="8" r:id="rId5"/>
    <sheet name="GREET 2023_100-yr" sheetId="1" r:id="rId6"/>
    <sheet name="GREET 2023_20-yr" sheetId="14" r:id="rId7"/>
    <sheet name="Adjustable_HeatRate_CI" sheetId="25" r:id="rId8"/>
    <sheet name="Pivot_averages" sheetId="28" r:id="rId9"/>
    <sheet name="Scenarios Pivot - fuel input" sheetId="29" r:id="rId10"/>
    <sheet name="RMI_OCI+_100-yr" sheetId="4" r:id="rId11"/>
    <sheet name="RMI_OCI+_20-yr" sheetId="11" r:id="rId12"/>
    <sheet name="NOIA_EPA" sheetId="5" r:id="rId13"/>
    <sheet name="HSEO_Crude Import" sheetId="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123Graph_A" hidden="1">'[1]1st Year Operations'!#REF!</definedName>
    <definedName name="__ExitPeriod">VLOOKUP(__ExitYear&amp;".Q4",t_Calendar,2,0)</definedName>
    <definedName name="__IntlFixup">TRUE</definedName>
    <definedName name="_del1" hidden="1">{"Page1",#N/A,FALSE,"7979";"Page2",#N/A,FALSE,"7979";"Page3",#N/A,FALSE,"7979"}</definedName>
    <definedName name="_Fil1" hidden="1">'[2]Current 9-02'!$A$6:$A$166</definedName>
    <definedName name="_Fill" hidden="1">[3]CF!#REF!</definedName>
    <definedName name="_xlnm._FilterDatabase" localSheetId="7" hidden="1">Adjustable_HeatRate_CI!$A$1:$G$166</definedName>
    <definedName name="_Key1" hidden="1">[4]Assumptions!#REF!</definedName>
    <definedName name="_Key2" hidden="1">#REF!</definedName>
    <definedName name="_Key5" hidden="1">#REF!</definedName>
    <definedName name="_Key6" hidden="1">#REF!</definedName>
    <definedName name="_Key8" hidden="1">#REF!</definedName>
    <definedName name="_Key9" hidden="1">'[2]Current 9-02'!#REF!</definedName>
    <definedName name="_Order1">0</definedName>
    <definedName name="_Order2">255</definedName>
    <definedName name="_Sort" hidden="1">#REF!</definedName>
    <definedName name="_xlcn.WorksheetConnection_Adjustable_HeatRate_CIAE" hidden="1">Adjustable_HeatRate_CI!$A:$E</definedName>
    <definedName name="_xlcn.WorksheetConnection_Adjustable_HeatRate_CIAG" hidden="1">Adjustable_HeatRate_CI!$A:$G</definedName>
    <definedName name="_xlcn.WorksheetConnection_LNGAnalysisFUELAF" hidden="1">'[5]LNG-Oil Analysis - Fuel Input'!$A:$F</definedName>
    <definedName name="_xlcn.WorksheetConnection_Tidy_LNGOilCIFuelInputA1F165" hidden="1">Adjustable_HeatRate_CI!$A$1:$F$165</definedName>
    <definedName name="_xlcn.WorksheetConnection_Tidy_LNGOilCIFuelInputAF" hidden="1">Adjustable_HeatRate_CI!$A:$F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ru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acreperhectare">[6]Factors!$C$46</definedName>
    <definedName name="adf" hidden="1">{#N/A,#N/A,FALSE,"SCHEDULE G"}</definedName>
    <definedName name="aldk"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asfget" hidden="1">{"Page1",#N/A,FALSE,"7979";"Page2",#N/A,FALSE,"7979";"Page3",#N/A,FALSE,"7979"}</definedName>
    <definedName name="atre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adLink" hidden="1">#REF!</definedName>
    <definedName name="BC_GTP_100">Fuel_Specs!$F$15</definedName>
    <definedName name="BC_GTP_20">Fuel_Specs!$G$15</definedName>
    <definedName name="BC_GWP_100">Fuel_Specs!$D$15</definedName>
    <definedName name="BC_GWP_20">Fuel_Specs!$E$15</definedName>
    <definedName name="b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ga"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m"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mgv"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ugu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i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lendedRate">'[7]1. Portfolio'!#REF!</definedName>
    <definedName name="BonusSched">#REF!</definedName>
    <definedName name="bozo" hidden="1">'[1]1st Year Operations'!#REF!</definedName>
    <definedName name="BTU2BTU">Fuel_Specs!$G$47</definedName>
    <definedName name="Btu2hph">Fuel_Specs!$G$49</definedName>
    <definedName name="BTU2J">Fuel_Specs!$G$42</definedName>
    <definedName name="BTU2kJ">Fuel_Specs!$G$43</definedName>
    <definedName name="BTU2kWh">Fuel_Specs!$G$46</definedName>
    <definedName name="BTU2MJ">Fuel_Specs!$G$44</definedName>
    <definedName name="BTU2mmBTU">Fuel_Specs!$G$48</definedName>
    <definedName name="BTU2Wh">Fuel_Specs!$G$45</definedName>
    <definedName name="BtuperkWh">[6]Factors!$C$37</definedName>
    <definedName name="Button_4">"Takeover_Building_Set_Up_List"</definedName>
    <definedName name="Button_5">"Takeover_Building_Set_Up_List1"</definedName>
    <definedName name="bvjhm"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C_MW">[6]Factors!$D$14</definedName>
    <definedName name="Ca_MW">[6]Factors!$D$18</definedName>
    <definedName name="CapAccount">'[8]OSO-Dynamic P1 Allocations v2'!$A$96:$T$112</definedName>
    <definedName name="CapAccount_EOY">'[8]OSO-Dynamic P1 Allocations v2'!$A$2:$T$2</definedName>
    <definedName name="CAPEX">#REF!</definedName>
    <definedName name="ccc"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CH4_GWP">Fuel_Specs!$B$6</definedName>
    <definedName name="CH4_GWP_100yr">Fuel_Specs!$C$6</definedName>
    <definedName name="CH4_GWP_20yr">Fuel_Specs!$D$6</definedName>
    <definedName name="CH4_MW">[6]Factors!$D$9</definedName>
    <definedName name="CIGAS">#REF!</definedName>
    <definedName name="Cl_MW">[6]Factors!$D$19</definedName>
    <definedName name="CO_GWP">[6]Factors!$C$12</definedName>
    <definedName name="CO_MW">[6]Factors!$D$12</definedName>
    <definedName name="CO2_C_Ratio">[6]Factors!$C$30</definedName>
    <definedName name="CO2_GWP">Fuel_Specs!$B$5</definedName>
    <definedName name="CO2_MW">[6]Factors!$D$8</definedName>
    <definedName name="CompYear">[9]Sheet1!$H$16:$H$21</definedName>
    <definedName name="DATA_01" hidden="1">#REF!</definedName>
    <definedName name="DD" hidden="1">{#N/A,#N/A,TRUE,"toc";#N/A,#N/A,TRUE,"data1";#N/A,#N/A,TRUE,"financing";#N/A,#N/A,TRUE,"source";#N/A,#N/A,TRUE,"flow";#N/A,#N/A,TRUE,"cash";#N/A,#N/A,TRUE,"-3%";#N/A,#N/A,TRUE,"tax";#N/A,#N/A,TRUE,"ben";#N/A,#N/A,TRUE,"Exit";#N/A,#N/A,TRUE,"Mezza";#N/A,#N/A,TRUE,"ln2";#N/A,#N/A,TRUE,"ln3";#N/A,#N/A,TRUE,"ln4";#N/A,#N/A,TRUE,"lnsum";#N/A,#N/A,TRUE,"rep";#N/A,#N/A,TRUE,"depr";#N/A,#N/A,TRUE,"funded";#N/A,#N/A,TRUE,"fedtc";#N/A,#N/A,TRUE,"statetc";#N/A,#N/A,TRUE,"mingain";#N/A,#N/A,TRUE,"Qirr (2)"}</definedName>
    <definedName name="dd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egr">#REF!</definedName>
    <definedName name="del" hidden="1">{"Page1",#N/A,FALSE,"7979";"Page2",#N/A,FALSE,"7979";"Page3",#N/A,FALSE,"7979"}</definedName>
    <definedName name="DepSched">#REF!</definedName>
    <definedName name="derate">#REF!</definedName>
    <definedName name="dfds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rs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st_end">#REF!</definedName>
    <definedName name="dst_start">#REF!</definedName>
    <definedName name="ee"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SC">#REF!</definedName>
    <definedName name="esjkdrk"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tan"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thGALpYR">'[6]Production Data'!$C$96</definedName>
    <definedName name="ExtraPayments">'[10]AM Schedule'!$D$10</definedName>
    <definedName name="fff"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inComp">[11]ProjInputs!$E$62:$X$62</definedName>
    <definedName name="fksajf" hidden="1">{#N/A,#N/A,FALSE,"SCHEDULE A";"MINIMUM RENT",#N/A,FALSE,"SCHEDULES B &amp; C";"PERCENTAGE RENT",#N/A,FALSE,"SCHEDULES B &amp; C"}</definedName>
    <definedName name="FLAG">'[12]S&amp;U Timeline'!$F$146</definedName>
    <definedName name="frequency">{"Annually";"Semi-Annually";"Quarterly";"Bi-Monthly";"Monthly";"Semi-Monthly";"Bi-Weekly";"Weekly"}</definedName>
    <definedName name="frgn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rs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t2m">Fuel_Specs!$E$53</definedName>
    <definedName name="ft32ft3">Fuel_Specs!$F$39</definedName>
    <definedName name="ft32gal">Fuel_Specs!$F$38</definedName>
    <definedName name="ft32L">Fuel_Specs!$F$37</definedName>
    <definedName name="ft32m3">Fuel_Specs!$F$35</definedName>
    <definedName name="ft32ml">Fuel_Specs!$F$36</definedName>
    <definedName name="g2g">Fuel_Specs!$B$28</definedName>
    <definedName name="g2kg">Fuel_Specs!$B$29</definedName>
    <definedName name="g2lb">Fuel_Specs!$B$31</definedName>
    <definedName name="g2MT">Fuel_Specs!$B$30</definedName>
    <definedName name="g2T">Fuel_Specs!$B$32</definedName>
    <definedName name="gal2ft3">Fuel_Specs!$E$39</definedName>
    <definedName name="gal2gal">Fuel_Specs!$E$38</definedName>
    <definedName name="gal2L">Fuel_Specs!$E$37</definedName>
    <definedName name="gal2m3">Fuel_Specs!$E$35</definedName>
    <definedName name="gal2ml">Fuel_Specs!$E$36</definedName>
    <definedName name="gbjk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fdere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gg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perlb">[6]Factors!$C$39</definedName>
    <definedName name="grfas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ros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rsaea"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GWP_of_GHG_Ref">Fuel_Specs!$B$3</definedName>
    <definedName name="H_MW">[6]Factors!$D$15</definedName>
    <definedName name="h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hggff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hhh" hidden="1">{#N/A,#N/A,TRUE,"toc";#N/A,#N/A,TRUE,"benefits";#N/A,#N/A,TRUE,"TAXCREDITS";#N/A,#N/A,TRUE,"sourcedetail";#N/A,#N/A,TRUE,"finsum";#N/A,#N/A,TRUE,"cash";#N/A,#N/A,TRUE,"tax";#N/A,#N/A,TRUE,"loan2";#N/A,#N/A,TRUE,"loan3";#N/A,#N/A,TRUE,"deprec";#N/A,#N/A,TRUE,"funded";#N/A,#N/A,TRUE,"SALE";#N/A,#N/A,TRUE,"benefits long";#N/A,#N/A,TRUE,"IRR"}</definedName>
    <definedName name="hhhhhh"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hj" hidden="1">{#N/A,#N/A,FALSE,"TocSE";#N/A,#N/A,FALSE,"GENINFORE";#N/A,#N/A,FALSE,"CAPITAL";#N/A,#N/A,FALSE,"finsum";#N/A,#N/A,FALSE,"source";#N/A,#N/A,FALSE,"cashre";#N/A,#N/A,FALSE,"tax";#N/A,#N/A,FALSE,"benefits";#N/A,#N/A,FALSE,"OPRES";#N/A,#N/A,FALSE,"loan2";#N/A,#N/A,FALSE,"loan3";#N/A,#N/A,FALSE,"ALLDEBT";#N/A,#N/A,FALSE,"loan4";#N/A,#N/A,FALSE,"deprec";#N/A,#N/A,FALSE,"deprepres";#N/A,#N/A,FALSE,"funded";#N/A,#N/A,FALSE,"repres";#N/A,#N/A,FALSE,"SALE";#N/A,#N/A,FALSE,"TAXCREDITS";#N/A,#N/A,FALSE,"capacctre";#N/A,#N/A,FALSE,"miingainre";#N/A,#N/A,FALSE,"cahsirrst";#N/A,#N/A,FALSE,"IRR";#N/A,#N/A,FALSE,"geninfoMT";#N/A,#N/A,FALSE,"data3";#N/A,#N/A,FALSE,"sourcemt";#N/A,#N/A,FALSE,"cashmt";#N/A,#N/A,FALSE,"taxmt";#N/A,#N/A,FALSE,"benefitshist";#N/A,#N/A,FALSE,"opresmt";#N/A,#N/A,FALSE,"fundedmt";#N/A,#N/A,FALSE,"capacctmt";#N/A,#N/A,FALSE,"taxcredamort";"HIRR1",#N/A,FALSE,"irrhtc";#N/A,#N/A,FALSE,"putmt"}</definedName>
    <definedName name="HoldCo_Year">'[11]Project Roll Up'!$H$1:$JM$1</definedName>
    <definedName name="hph2BTU">Fuel_Specs!$I$47</definedName>
    <definedName name="hph2hph">Fuel_Specs!$I$49</definedName>
    <definedName name="hph2J">Fuel_Specs!$I$42</definedName>
    <definedName name="hph2kJ">Fuel_Specs!$I$43</definedName>
    <definedName name="hph2kWh">Fuel_Specs!$I$46</definedName>
    <definedName name="hph2MJ">Fuel_Specs!$I$44</definedName>
    <definedName name="hph2mmBTU">Fuel_Specs!$I$48</definedName>
    <definedName name="hph2Wh">Fuel_Specs!$I$45</definedName>
    <definedName name="HTML_CodePage">1252</definedName>
    <definedName name="HTML_Control">{"'Leverage'!$B$2:$M$418"}</definedName>
    <definedName name="HTML_Description">""</definedName>
    <definedName name="HTML_Email">""</definedName>
    <definedName name="HTML_Header">"Leverage"</definedName>
    <definedName name="HTML_LastUpdate">"8/21/00"</definedName>
    <definedName name="HTML_LineAfter">FALSE</definedName>
    <definedName name="HTML_LineBefore">FALSE</definedName>
    <definedName name="HTML_Name">"Frank Vickers"</definedName>
    <definedName name="HTML_OBDlg2">TRUE</definedName>
    <definedName name="HTML_OBDlg4">TRUE</definedName>
    <definedName name="HTML_OS">0</definedName>
    <definedName name="HTML_Title">"leverage"</definedName>
    <definedName name="hyh"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InterestRate">'[10]AM Schedule'!$D$5</definedName>
    <definedName name="IntroPrintArea"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43311.7530324074</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3000</definedName>
    <definedName name="IQ_YTDMONTH" hidden="1">130000</definedName>
    <definedName name="IQ_Z_SCORE" hidden="1">"c1339"</definedName>
    <definedName name="ITC">#REF!</definedName>
    <definedName name="J2BTU">Fuel_Specs!$B$47</definedName>
    <definedName name="J2hph">Fuel_Specs!$B$49</definedName>
    <definedName name="J2J" localSheetId="7">'[13]Unit Conversions'!#REF!</definedName>
    <definedName name="J2J">Fuel_Specs!$B$42</definedName>
    <definedName name="J2kJ">Fuel_Specs!$B$43</definedName>
    <definedName name="J2kWh">Fuel_Specs!$B$46</definedName>
    <definedName name="J2MJ">Fuel_Specs!$B$44</definedName>
    <definedName name="J2mmBTU">Fuel_Specs!$B$48</definedName>
    <definedName name="J2Wh">Fuel_Specs!$B$45</definedName>
    <definedName name="joann"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JperBtu">[6]Factors!$C$35</definedName>
    <definedName name="K_MW">[6]Factors!$D$23</definedName>
    <definedName name="kayla"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ey1.1" hidden="1">'[14]Economic Summary'!#REF!</definedName>
    <definedName name="kg2g">Fuel_Specs!$C$28</definedName>
    <definedName name="kg2kg">Fuel_Specs!$C$29</definedName>
    <definedName name="kg2lb">Fuel_Specs!$C$31</definedName>
    <definedName name="kg2MT">Fuel_Specs!$C$30</definedName>
    <definedName name="kg2T">Fuel_Specs!$C$32</definedName>
    <definedName name="kJ2BTU">Fuel_Specs!$C$47</definedName>
    <definedName name="kJ2hph">Fuel_Specs!$C$49</definedName>
    <definedName name="kJ2J">Fuel_Specs!$C$42</definedName>
    <definedName name="kJ2kJ">Fuel_Specs!$C$43</definedName>
    <definedName name="kJ2kWh">Fuel_Specs!$C$46</definedName>
    <definedName name="kJ2MJ">Fuel_Specs!$C$44</definedName>
    <definedName name="kJ2mmBTU">Fuel_Specs!$C$48</definedName>
    <definedName name="kJ2Wh">Fuel_Specs!$C$45</definedName>
    <definedName name="kkf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kjhg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kk"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m2mi">Fuel_Specs!$D$56</definedName>
    <definedName name="kWh2BTU" localSheetId="7">'[13]Unit Conversions'!#REF!</definedName>
    <definedName name="kWh2BTU">Fuel_Specs!$F$47</definedName>
    <definedName name="kWh2hph">Fuel_Specs!$F$49</definedName>
    <definedName name="kWh2J">Fuel_Specs!$F$42</definedName>
    <definedName name="kWh2kJ">Fuel_Specs!$F$43</definedName>
    <definedName name="kWh2kWh">Fuel_Specs!$F$46</definedName>
    <definedName name="kWh2MJ">Fuel_Specs!$F$44</definedName>
    <definedName name="kWh2mmBTU">Fuel_Specs!$F$48</definedName>
    <definedName name="kWh2Wh">Fuel_Specs!$F$45</definedName>
    <definedName name="l"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2ft3">Fuel_Specs!$D$39</definedName>
    <definedName name="L2gal">Fuel_Specs!$D$38</definedName>
    <definedName name="L2L">Fuel_Specs!$D$37</definedName>
    <definedName name="L2m3">Fuel_Specs!$D$35</definedName>
    <definedName name="L2ml">Fuel_Specs!$D$36</definedName>
    <definedName name="Last_Row">#N/A</definedName>
    <definedName name="LastCol">MATCH(REPT("z",255),#REF!)</definedName>
    <definedName name="LastRow">MATCH(9.99E+307,#REF!)</definedName>
    <definedName name="lb2g">Fuel_Specs!$E$28</definedName>
    <definedName name="lb2kg">Fuel_Specs!$E$29</definedName>
    <definedName name="lb2lb">Fuel_Specs!$E$31</definedName>
    <definedName name="lb2MT">Fuel_Specs!$E$30</definedName>
    <definedName name="lb2T">Fuel_Specs!$E$32</definedName>
    <definedName name="LeaseSched">'[7]1. Portfolio'!$B$367:$D$407</definedName>
    <definedName name="leasetermmt2"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easetermmt2a"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ll"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oan_Not_Paid">IF(Payment_Number&lt;=Number_of_Payments,1,0)</definedName>
    <definedName name="loan3b"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oan8"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oanAmount">'[10]AM Schedule'!$D$4</definedName>
    <definedName name="LoanIsGood">('[10]AM Schedule'!$D$4*'[10]AM Schedule'!$D$5*'[10]AM Schedule'!$D$6*'[10]AM Schedule'!$D$8)&gt;0</definedName>
    <definedName name="LoanPeriod">'[10]AM Schedule'!$D$6</definedName>
    <definedName name="LoanStartDate">'[10]AM Schedule'!$D$8</definedName>
    <definedName name="Lpergal">[6]Factors!$C$43</definedName>
    <definedName name="m2ft">Fuel_Specs!$C$55</definedName>
    <definedName name="m32ft3">Fuel_Specs!$B$39</definedName>
    <definedName name="m32gal">Fuel_Specs!$B$38</definedName>
    <definedName name="m32L">Fuel_Specs!$B$37</definedName>
    <definedName name="m32m3">Fuel_Specs!$B$35</definedName>
    <definedName name="m32ml">Fuel_Specs!$B$36</definedName>
    <definedName name="MerchSched">'[7]1. Portfolio'!$B$198:$D$238</definedName>
    <definedName name="mi2km">Fuel_Specs!$F$54</definedName>
    <definedName name="MJ2BTU">Fuel_Specs!$D$47</definedName>
    <definedName name="MJ2hph">Fuel_Specs!$D$49</definedName>
    <definedName name="MJ2J">Fuel_Specs!$D$42</definedName>
    <definedName name="MJ2kJ">Fuel_Specs!$D$43</definedName>
    <definedName name="MJ2kWh">Fuel_Specs!$D$46</definedName>
    <definedName name="MJ2MJ">Fuel_Specs!$D$44</definedName>
    <definedName name="MJ2mmBTU">Fuel_Specs!$D$48</definedName>
    <definedName name="MJ2Wh">Fuel_Specs!$D$45</definedName>
    <definedName name="ml2ft3">Fuel_Specs!$C$39</definedName>
    <definedName name="ml2gal">Fuel_Specs!$C$38</definedName>
    <definedName name="ml2L">Fuel_Specs!$C$37</definedName>
    <definedName name="ml2m3">Fuel_Specs!$C$35</definedName>
    <definedName name="ml2ml">Fuel_Specs!$C$36</definedName>
    <definedName name="mmBTU2BTU">Fuel_Specs!$H$47</definedName>
    <definedName name="mmBtu2hph">Fuel_Specs!$H$49</definedName>
    <definedName name="mmBTU2J">Fuel_Specs!$H$42</definedName>
    <definedName name="mmBTU2kJ">Fuel_Specs!$H$43</definedName>
    <definedName name="mmBTU2kWh">Fuel_Specs!$H$46</definedName>
    <definedName name="mmBTU2MJ">Fuel_Specs!$H$44</definedName>
    <definedName name="mmBTU2mmBTU">Fuel_Specs!$H$48</definedName>
    <definedName name="mmBTU2Wh">Fuel_Specs!$H$45</definedName>
    <definedName name="MonthList">{"January","February","March","April","May","June","July","August","September","October","November","December"}</definedName>
    <definedName name="Monthly_Payment">#N/A</definedName>
    <definedName name="MT2g">Fuel_Specs!$D$28</definedName>
    <definedName name="MT2kg">Fuel_Specs!$D$29</definedName>
    <definedName name="MT2lb">Fuel_Specs!$D$31</definedName>
    <definedName name="MT2MT">Fuel_Specs!$D$30</definedName>
    <definedName name="MT2T">Fuel_Specs!$D$32</definedName>
    <definedName name="mtii"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_MW">[6]Factors!$D$17</definedName>
    <definedName name="N2O_GWP">Fuel_Specs!$B$7</definedName>
    <definedName name="N2O_GWP_100yr">Fuel_Specs!$C$7</definedName>
    <definedName name="N2O_GWP_20yr">Fuel_Specs!$D$7</definedName>
    <definedName name="Na_MW">[6]Factors!$D$20</definedName>
    <definedName name="nam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2"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3"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4"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5"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6"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7"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nn"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on_summer_on_peak_rate">'[15]PROGRESS RATES'!$C$10</definedName>
    <definedName name="nper">term*periods_per_year</definedName>
    <definedName name="nswhew"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umber_of_Payments">MATCH(0.01,End_Bal,-1)+1</definedName>
    <definedName name="O_MW">[6]Factors!$D$16</definedName>
    <definedName name="off_peak_rate">'[15]PROGRESS RATES'!$C$11</definedName>
    <definedName name="ooo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oooooo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order1">0</definedName>
    <definedName name="ORIXallocation">'[8]OSO-Dynamic P1 Allocations v2'!$C$52:$T$52</definedName>
    <definedName name="ORIXallocation_EOY">'[8]OSO-Dynamic P1 Allocations v2'!$C$50:$T$50</definedName>
    <definedName name="P_MW">[6]Factors!$D$22</definedName>
    <definedName name="Payment_Date">#N/A</definedName>
    <definedName name="Payment_Number">#N/A</definedName>
    <definedName name="PaymentsPerYear">'[10]AM Schedule'!$D$7</definedName>
    <definedName name="pec_holidays">#REF!</definedName>
    <definedName name="P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PPA">#REF!</definedName>
    <definedName name="ppa_mult">#REF!</definedName>
    <definedName name="PPASched">'[7]1. Portfolio'!$B$151:$D$191</definedName>
    <definedName name="PPTXSched">'[7]1. Portfolio'!$B$292:$D$344</definedName>
    <definedName name="Principal">#N/A</definedName>
    <definedName name="Print_Area_Reset">OFFSET(Full_Print,0,0,Last_Row)</definedName>
    <definedName name="_xlnm.Print_Titles">#N/A</definedName>
    <definedName name="PrintArea_SET">OFFSET(#REF!,,,LastRow,LastCol)</definedName>
    <definedName name="Projects">'[7]1. Portfolio'!$F$4:$U$4</definedName>
    <definedName name="qq" hidden="1">{#N/A,#N/A,FALSE,"Release Price";#N/A,#N/A,FALSE,"Cash flow for 50 Unit";#N/A,#N/A,FALSE,"Cash Flow for 3 Models"}</definedName>
    <definedName name="RA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aejna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ECSched">'[7]1. Portfolio'!$B$251:$D$291</definedName>
    <definedName name="rena"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res" hidden="1">{#N/A,#N/A,TRUE,"toc";#N/A,#N/A,TRUE,"benefits";#N/A,#N/A,TRUE,"TAXCREDITS";#N/A,#N/A,TRUE,"sourcedetail";#N/A,#N/A,TRUE,"finsum";#N/A,#N/A,TRUE,"cash";#N/A,#N/A,TRUE,"tax";#N/A,#N/A,TRUE,"loan2";#N/A,#N/A,TRUE,"loan3";#N/A,#N/A,TRUE,"deprec";#N/A,#N/A,TRUE,"funded";#N/A,#N/A,TRUE,"SALE";#N/A,#N/A,TRUE,"benefits long";#N/A,#N/A,TRUE,"IRR"}</definedName>
    <definedName name="rgaw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geqw"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rgts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PTXSched">'[7]1. Portfolio'!#REF!</definedName>
    <definedName name="sa"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ScheduledNumberOfPayments">'[10]AM Schedule'!$I$5</definedName>
    <definedName name="ScheduledPayment">'[10]AM Schedule'!$I$4</definedName>
    <definedName name="sdbfwajelk"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sencount" hidden="1">1</definedName>
    <definedName name="summer_on_peak_rate">'[15]PROGRESS RATES'!$C$9</definedName>
    <definedName name="SystemAvail">#REF!</definedName>
    <definedName name="t"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2g">Fuel_Specs!$F$28</definedName>
    <definedName name="T2kg">Fuel_Specs!$F$29</definedName>
    <definedName name="T2lb">Fuel_Specs!$F$31</definedName>
    <definedName name="T2MT">Fuel_Specs!$F$30</definedName>
    <definedName name="T2T">Fuel_Specs!$F$32</definedName>
    <definedName name="ta"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tax">#REF!</definedName>
    <definedName name="TaxableIncome">'[8]OSO-Dynamic P1 Proforma'!$D$48:$U$48</definedName>
    <definedName name="TaxableIncome_EOY">'[8]OSO-Dynamic P1 Proforma'!$D$34:$U$34</definedName>
    <definedName name="t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est">{"January","February","March","April","May","June","July","August","September","October","November","December"}</definedName>
    <definedName name="ThisMonth">YEAR(TODAY())&amp;"-"&amp;TEXT(TODAY(),"MM")</definedName>
    <definedName name="tonneperton">[6]Factors!$C$40</definedName>
    <definedName name="Total_Payment">Scheduled_Payment+Extra_Payment</definedName>
    <definedName name="totalcas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otUse">[11]ProjInputs!$E$127:$X$127</definedName>
    <definedName name="t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ransCost">[11]ProjInputs!$E$136:$X$136</definedName>
    <definedName name="TransCostDate">[11]ProjInputs!$E$137:$X$137</definedName>
    <definedName name="u"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UIRR">'[11]Project Roll Up'!$D$480:$D$499</definedName>
    <definedName name="Value" hidden="1">{#N/A,#N/A,FALSE,"Cashflow Analysis";#N/A,#N/A,FALSE,"Sensitivity Analysis";#N/A,#N/A,FALSE,"PV";#N/A,#N/A,FALSE,"Pro Forma"}</definedName>
    <definedName name="value1" hidden="1">{#N/A,#N/A,FALSE,"Cashflow Analysis";#N/A,#N/A,FALSE,"Sensitivity Analysis";#N/A,#N/A,FALSE,"PV";#N/A,#N/A,FALSE,"Pro Forma"}</definedName>
    <definedName name="Values_Entered">#N/A</definedName>
    <definedName name="vmgfvmh" hidden="1">{#N/A,#N/A,TRUE,"toc";#N/A,#N/A,TRUE,"benefits";#N/A,#N/A,TRUE,"TAXCREDITS";#N/A,#N/A,TRUE,"sourcedetail";#N/A,#N/A,TRUE,"finsum";#N/A,#N/A,TRUE,"cash";#N/A,#N/A,TRUE,"tax";#N/A,#N/A,TRUE,"loan2";#N/A,#N/A,TRUE,"loan3";#N/A,#N/A,TRUE,"deprec";#N/A,#N/A,TRUE,"funded";#N/A,#N/A,TRUE,"SALE";#N/A,#N/A,TRUE,"benefits long";#N/A,#N/A,TRUE,"IRR"}</definedName>
    <definedName name="VOC_GWP">[6]Factors!$C$11</definedName>
    <definedName name="w" hidden="1">{"Cover",#N/A,FALSE,"cover";"Program",#N/A,FALSE,"Program";"Rent Calculation",#N/A,FALSE,"Income Tiers";"Operations - all",#N/A,FALSE,"Operating";"Operations - PHA",#N/A,FALSE,"ACC Operating";"Operations - LIHTC",#N/A,FALSE,"LIHTC Operating";"Operations - market",#N/A,FALSE,"Mkt. Operating";"Dev Budget - commercial &amp; residential",#N/A,FALSE,"Development";"Dev Budget - 221d",#N/A,FALSE,"Development";"Dev Budget - Tax Treatment",#N/A,FALSE,"Development";"S&amp;U",#N/A,FALSE,"Sources";"221(d)3 limits",#N/A,FALSE,"Cost Limits";"TDC Limits",#N/A,FALSE,"Cost Limits";"Equity Schedule",#N/A,FALSE,"Schedule";"Lease-up",#N/A,FALSE,"Lease Up";"Sale Scenario",#N/A,FALSE,"Sale";"IRR",#N/A,FALSE,"LP Return (2)";"Min Gain Analysis",#N/A,FALSE,"Minumum Gain (2)";"Reserves",#N/A,FALSE,"Reserves";"Benefit schedule",#N/A,FALSE,"LP Benefits (2)";"Loss Schedule",#N/A,FALSE,"Loss";"Debt",#N/A,FALSE,"Debt";"Construction CF",#N/A,FALSE,"MonthlyCF";"proforma - 30yr all",#N/A,FALSE,"Proforma";"proforma - 30yr PHA all",#N/A,FALSE,"ACC Proforma";"proforma - 30yr LIHTC",#N/A,FALSE,"LIHTC Proforma";"proforma - 30yr market",#N/A,FALSE,"Market Proforma"}</definedName>
    <definedName name="w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Wh2BTU">Fuel_Specs!$E$47</definedName>
    <definedName name="Wh2hph">Fuel_Specs!$E$49</definedName>
    <definedName name="Wh2J">Fuel_Specs!$E$42</definedName>
    <definedName name="Wh2kJ">Fuel_Specs!$E$43</definedName>
    <definedName name="Wh2kWh">Fuel_Specs!$E$46</definedName>
    <definedName name="Wh2MJ">Fuel_Specs!$E$44</definedName>
    <definedName name="Wh2mmBTU">Fuel_Specs!$E$48</definedName>
    <definedName name="Wh2Wh">Fuel_Specs!$E$45</definedName>
    <definedName name="what" hidden="1">{"Page1",#N/A,FALSE,"7979";"Page2",#N/A,FALSE,"7979";"Page3",#N/A,FALSE,"7979"}</definedName>
    <definedName name="whatwhat" hidden="1">{"Page1",#N/A,FALSE,"7979";"Page2",#N/A,FALSE,"7979";"Page3",#N/A,FALSE,"7979"}</definedName>
    <definedName name="wrn.ALL." hidden="1">{"Cover",#N/A,FALSE,"cover";"Program",#N/A,FALSE,"Program";"Rent Calculation",#N/A,FALSE,"Income Tiers";"Operations - all",#N/A,FALSE,"Operating";"Operations - PHA",#N/A,FALSE,"ACC Operating";"Operations - LIHTC",#N/A,FALSE,"LIHTC Operating";"Operations - market",#N/A,FALSE,"Mkt. Operating";"Dev Budget - commercial &amp; residential",#N/A,FALSE,"Development";"Dev Budget - 221d",#N/A,FALSE,"Development";"Dev Budget - Tax Treatment",#N/A,FALSE,"Development";"S&amp;U",#N/A,FALSE,"Sources";"221(d)3 limits",#N/A,FALSE,"Cost Limits";"TDC Limits",#N/A,FALSE,"Cost Limits";"Equity Schedule",#N/A,FALSE,"Schedule";"Lease-up",#N/A,FALSE,"Lease Up";"Sale Scenario",#N/A,FALSE,"Sale";"IRR",#N/A,FALSE,"LP Return (2)";"Min Gain Analysis",#N/A,FALSE,"Minumum Gain (2)";"Reserves",#N/A,FALSE,"Reserves";"Benefit schedule",#N/A,FALSE,"LP Benefits (2)";"Loss Schedule",#N/A,FALSE,"Loss";"Debt",#N/A,FALSE,"Debt";"Construction CF",#N/A,FALSE,"MonthlyCF";"proforma - 30yr all",#N/A,FALSE,"Proforma";"proforma - 30yr PHA all",#N/A,FALSE,"ACC Proforma";"proforma - 30yr LIHTC",#N/A,FALSE,"LIHTC Proforma";"proforma - 30yr market",#N/A,FALSE,"Market Proforma"}</definedName>
    <definedName name="wrn.all.2" hidden="1">{#N/A,#N/A,FALSE,"SCHEDULE A";"MINIMUM RENT",#N/A,FALSE,"SCHEDULES B &amp; C";"PERCENTAGE RENT",#N/A,FALSE,"SCHEDULES B &amp; C";#N/A,#N/A,FALSE,"SCHEDULE D";"SUMMARY SCHEDULE",#N/A,FALSE,"SCHEDULE E";#N/A,#N/A,FALSE,"SCHEDULE F";#N/A,#N/A,FALSE,"SCHEDULE G";"SUMMARY SCHEDULE",#N/A,FALSE,"SCHEDULE H";"SUMMARY SCHEDULE",#N/A,FALSE,"SCHEDULE I";#N/A,#N/A,FALSE,"SCHEDULE J";#N/A,#N/A,FALSE,"SCHEDULE 2";#N/A,#N/A,FALSE,"SCHEDULE 3";#N/A,#N/A,FALSE,"MARKETING I";#N/A,#N/A,FALSE,"MARKETING II";#N/A,#N/A,FALSE,"MARKETING III"}</definedName>
    <definedName name="wrn.Basic." hidden="1">{"Cover Basic",#N/A,FALSE,"cover";"Operations - all",#N/A,FALSE,"Operating";"Dev Budget - detail",#N/A,FALSE,"Development";"Dev Budget - commercial &amp; residential",#N/A,FALSE,"Development";"S&amp;U",#N/A,FALSE,"Sources";"Lease-up",#N/A,FALSE,"Lease Up";"proforma - 30yr all",#N/A,FALSE,"Proforma"}</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ofA_RE." hidden="1">{#N/A,#N/A,TRUE,"toc";#N/A,#N/A,TRUE,"data1";#N/A,#N/A,TRUE,"financing";#N/A,#N/A,TRUE,"source";#N/A,#N/A,TRUE,"flow";#N/A,#N/A,TRUE,"cash";#N/A,#N/A,TRUE,"-3%";#N/A,#N/A,TRUE,"tax";#N/A,#N/A,TRUE,"ben";#N/A,#N/A,TRUE,"Exit";#N/A,#N/A,TRUE,"Mezza";#N/A,#N/A,TRUE,"ln2";#N/A,#N/A,TRUE,"ln3";#N/A,#N/A,TRUE,"ln4";#N/A,#N/A,TRUE,"lnsum";#N/A,#N/A,TRUE,"rep";#N/A,#N/A,TRUE,"depr";#N/A,#N/A,TRUE,"funded";#N/A,#N/A,TRUE,"fedtc";#N/A,#N/A,TRUE,"statetc";#N/A,#N/A,TRUE,"mingain";#N/A,#N/A,TRUE,"Qirr (2)"}</definedName>
    <definedName name="wrn.CDA." hidden="1">{#N/A,#N/A,TRUE,"Comments";#N/A,#N/A,TRUE,"toc";#N/A,#N/A,TRUE,"data1";#N/A,#N/A,TRUE,"financing";#N/A,#N/A,TRUE,"source";#N/A,#N/A,TRUE,"cash";#N/A,#N/A,TRUE,"tax";#N/A,#N/A,TRUE,"ln3";#N/A,#N/A,TRUE,"ln2 (2)";#N/A,#N/A,TRUE,"mht";#N/A,#N/A,TRUE,"cda2";#N/A,#N/A,TRUE,"mtdata1";#N/A,#N/A,TRUE,"mtsource";#N/A,#N/A,TRUE,"mtop";#N/A,#N/A,TRUE,"noi";#N/A,#N/A,TRUE,"base";#N/A,#N/A,TRUE,"mtcash";#N/A,#N/A,TRUE,"mttax";#N/A,#N/A,TRUE,"ti"}</definedName>
    <definedName name="wrn.crossroads." hidden="1">{#N/A,#N/A,FALSE,"RENT ROLL";#N/A,#N/A,FALSE,"CAM";#N/A,#N/A,FALSE,"TAXES";#N/A,#N/A,FALSE,"INSURANCE";#N/A,#N/A,FALSE,"HVAC";#N/A,#N/A,FALSE,"MARKETING"}</definedName>
    <definedName name="wrn.dcf." hidden="1">{"mgmt forecast",#N/A,FALSE,"Mgmt Forecast";"dcf table",#N/A,FALSE,"Mgmt Forecast";"sensitivity",#N/A,FALSE,"Mgmt Forecast";"table inputs",#N/A,FALSE,"Mgmt Forecast";"calculations",#N/A,FALSE,"Mgmt Forecast"}</definedName>
    <definedName name="wrn.DETAIL._.SCHEDULES." hidden="1">{"ACCOUNT DETAIL",#N/A,FALSE,"SCHEDULE E";"ACCOUNT DETAIL",#N/A,FALSE,"SCHEDULE G";"ACCOUNT DETAIL",#N/A,FALSE,"SCHEDULE H";"ACCOUNT DETAIL",#N/A,FALSE,"SCHEDULE I"}</definedName>
    <definedName name="wrn.dtl.schedules" hidden="1">{"ACCOUNT DETAIL",#N/A,FALSE,"SCHEDULE E";"ACCOUNT DETAIL",#N/A,FALSE,"SCHEDULE G";"ACCOUNT DETAIL",#N/A,FALSE,"SCHEDULE H";"ACCOUNT DETAIL",#N/A,FALSE,"SCHEDULE I"}</definedName>
    <definedName name="wrn.LETTERE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lnsum" hidden="1">{"Loan Summary",#N/A,FALSE,"Phase 1 loan &amp; data"}</definedName>
    <definedName name="wrn.Loan._.Summary." hidden="1">{"Loan Summary",#N/A,FALSE,"Phase 1 loan &amp; data"}</definedName>
    <definedName name="wrn.ltrd." hidden="1">{"HEITMAN COPY",#N/A,FALSE,"SCHEDULE A";"MINIMUM RENT",#N/A,FALSE,"SCHEDULES B &amp; C";"PERCENTAGE RENT",#N/A,FALSE,"SCHEDULES B &amp; C";#N/A,#N/A,FALSE,"SCHEDULE D";"SUMMARY SCHEDULE",#N/A,FALSE,"SCHEDULE E";#N/A,#N/A,FALSE,"SCHEDULE F";"SUMMARY SCHEDULE",#N/A,FALSE,"SCHEDULE H";"SUMMARY SCHEDULE",#N/A,FALSE,"SCHEDULE I";#N/A,#N/A,FALSE,"SCHEDULE J"}</definedName>
    <definedName name="wrn.MARKETING." hidden="1">{#N/A,#N/A,FALSE,"MARKETING I";#N/A,#N/A,FALSE,"MARKETING II";#N/A,#N/A,FALSE,"MARKETING III"}</definedName>
    <definedName name="wrn.MINRENT." hidden="1">{"MINRENT2",#N/A,FALSE,"SCHEDULE B"}</definedName>
    <definedName name="wrn.minrent.2" hidden="1">{"MINRENT2",#N/A,FALSE,"SCHEDULE B"}</definedName>
    <definedName name="wrn.mkting" hidden="1">{#N/A,#N/A,FALSE,"MARKETING I";#N/A,#N/A,FALSE,"MARKETING II";#N/A,#N/A,FALSE,"MARKETING III"}</definedName>
    <definedName name="wrn.MT." hidden="1">{#N/A,#N/A,TRUE,"tocMT";#N/A,#N/A,TRUE,"mtdata1";#N/A,#N/A,TRUE,"noi";#N/A,#N/A,TRUE,"Income";#N/A,#N/A,TRUE,"Expense";#N/A,#N/A,TRUE,"Interim";#N/A,#N/A,TRUE,"base";#N/A,#N/A,TRUE,"mtcash";#N/A,#N/A,TRUE,"mttax"}</definedName>
    <definedName name="wrn.PERCENTAGE._.RENT." hidden="1">{"PERCENTAGE RENT",#N/A,TRUE,"SCHEDULE B"}</definedName>
    <definedName name="wrn.PHA._.Proformas." hidden="1">{"Proforma - 10y PHA All","all PHA",FALSE,"PHA Proformas";"Proforma - 10yr PHA op sub","op sub",FALSE,"PHA Proformas";"Proforma - 10yr cap only","cap only",FALSE,"PHA Proformas"}</definedName>
    <definedName name="wrn.prcntrent" hidden="1">{"PERCENTAGE RENT",#N/A,TRUE,"SCHEDULE B"}</definedName>
    <definedName name="wrn.print." hidden="1">{#N/A,#N/A,FALSE,"TocSE";#N/A,#N/A,FALSE,"GENINFORE";#N/A,#N/A,FALSE,"CAPITAL";#N/A,#N/A,FALSE,"finsum";#N/A,#N/A,FALSE,"source";#N/A,#N/A,FALSE,"cashre";#N/A,#N/A,FALSE,"tax";#N/A,#N/A,FALSE,"benefits";#N/A,#N/A,FALSE,"OPRES";#N/A,#N/A,FALSE,"loan2";#N/A,#N/A,FALSE,"loan3";#N/A,#N/A,FALSE,"ALLDEBT";#N/A,#N/A,FALSE,"loan4";#N/A,#N/A,FALSE,"deprec";#N/A,#N/A,FALSE,"deprepres";#N/A,#N/A,FALSE,"funded";#N/A,#N/A,FALSE,"repres";#N/A,#N/A,FALSE,"SALE";#N/A,#N/A,FALSE,"TAXCREDITS";#N/A,#N/A,FALSE,"capacctre";#N/A,#N/A,FALSE,"miingainre";#N/A,#N/A,FALSE,"cahsirrst";#N/A,#N/A,FALSE,"IRR";#N/A,#N/A,FALSE,"geninfoMT";#N/A,#N/A,FALSE,"data3";#N/A,#N/A,FALSE,"sourcemt";#N/A,#N/A,FALSE,"cashmt";#N/A,#N/A,FALSE,"taxmt";#N/A,#N/A,FALSE,"benefitshist";#N/A,#N/A,FALSE,"opresmt";#N/A,#N/A,FALSE,"fundedmt";#N/A,#N/A,FALSE,"capacctmt";#N/A,#N/A,FALSE,"taxcredamort";"HIRR1",#N/A,FALSE,"irrhtc";#N/A,#N/A,FALSE,"putmt"}</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s." hidden="1">{#N/A,#N/A,FALSE,"Release Price";#N/A,#N/A,FALSE,"Cash flow for 50 Unit";#N/A,#N/A,FALSE,"Cash Flow for 3 Models"}</definedName>
    <definedName name="wrn.rate." hidden="1">{"RATES",#N/A,FALSE,"RECOVERY RATES";"CONTRIBUTIONS",#N/A,FALSE,"RECOVERY RATES";"GLA CATEGORY SUMMARY",#N/A,FALSE,"RECOVERY RATES"}</definedName>
    <definedName name="wrn.RATES." hidden="1">{"RATES",#N/A,FALSE,"RECOVERY RATES";"CONTRIBUTIONS",#N/A,FALSE,"RECOVERY RATES";"GLA CATEGORY SUMMARY",#N/A,FALSE,"RECOVERY RATES"}</definedName>
    <definedName name="wrn.REDiff." hidden="1">{#N/A,#N/A,TRUE,"toc";#N/A,#N/A,TRUE,"geninfo2";#N/A,#N/A,TRUE,"financing";#N/A,#N/A,TRUE,"source";#N/A,#N/A,TRUE,"cashd";#N/A,#N/A,TRUE,"-3%d";#N/A,#N/A,TRUE,"taxd";#N/A,#N/A,TRUE,"bend";#N/A,#N/A,TRUE,"Mezzad";#N/A,#N/A,TRUE,"ln2";#N/A,#N/A,TRUE,"ln3";#N/A,#N/A,TRUE,"ln4";#N/A,#N/A,TRUE,"lnsumd";#N/A,#N/A,TRUE,"rep";#N/A,#N/A,TRUE,"depr";#N/A,#N/A,TRUE,"funded";#N/A,#N/A,TRUE,"fedtc";#N/A,#N/A,TRUE,"statetc";#N/A,#N/A,TRUE,"saled";#N/A,#N/A,TRUE,"Qirrd";#N/A,#N/A,TRUE,"mingaind";#N/A,#N/A,TRUE,"bstestd"}</definedName>
    <definedName name="wrn.RESame." hidden="1">{#N/A,#N/A,TRUE,"toc";#N/A,#N/A,TRUE,"data1";#N/A,#N/A,TRUE,"financing";#N/A,#N/A,TRUE,"source";#N/A,#N/A,TRUE,"cash";#N/A,#N/A,TRUE,"-3%";#N/A,#N/A,TRUE,"tax";#N/A,#N/A,TRUE,"ben";#N/A,#N/A,TRUE,"Mezza";#N/A,#N/A,TRUE,"ln2";#N/A,#N/A,TRUE,"ln3";#N/A,#N/A,TRUE,"ln4";#N/A,#N/A,TRUE,"lnsum";#N/A,#N/A,TRUE,"rep";#N/A,#N/A,TRUE,"depr";#N/A,#N/A,TRUE,"funded";#N/A,#N/A,TRUE,"fedtc";#N/A,#N/A,TRUE,"statetc";#N/A,#N/A,TRUE,"mingain";#N/A,#N/A,TRUE,"Qirr";#N/A,#N/A,TRUE,"bstest"}</definedName>
    <definedName name="wrn.SCHAs." hidden="1">{"ACCOUNTING COPY",#N/A,FALSE,"SCHEDULE A";"FINANCE COPY",#N/A,FALSE,"SCHEDULE A";"P.L. COPY",#N/A,FALSE,"SCHEDULE A"}</definedName>
    <definedName name="wrn.schas2" hidden="1">{"ACCOUNTING COPY",#N/A,FALSE,"SCHEDULE A";"FINANCE COPY",#N/A,FALSE,"SCHEDULE A";"P.L. COPY",#N/A,FALSE,"SCHEDULE A"}</definedName>
    <definedName name="wrn.SCHEDULES._.ABC." hidden="1">{#N/A,#N/A,FALSE,"SCHEDULE A";"MINIMUM RENT",#N/A,FALSE,"SCHEDULES B &amp; C";"PERCENTAGE RENT",#N/A,FALSE,"SCHEDULES B &amp; C"}</definedName>
    <definedName name="wrn.TEST." hidden="1">{#N/A,#N/A,FALSE,"SCHEDULE G"}</definedName>
    <definedName name="wrn.Total._.Model."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wrn.USGrant." hidden="1">{#N/A,#N/A,TRUE,"TOC";#N/A,#N/A,TRUE,"Data1";#N/A,#N/A,TRUE,"Data4";#N/A,#N/A,TRUE,"Source";#N/A,#N/A,TRUE,"Cash";#N/A,#N/A,TRUE,"Tax";#N/A,#N/A,TRUE,"Sale";#N/A,#N/A,TRUE,"Ben";#N/A,#N/A,TRUE,"Ln2";#N/A,#N/A,TRUE,"Ln4";#N/A,#N/A,TRUE,"LnSum";#N/A,#N/A,TRUE,"Dep";#N/A,#N/A,TRUE,"Funded";#N/A,#N/A,TRUE,"MinGn";#N/A,#N/A,TRUE,"TaxCredit";#N/A,#N/A,TRUE,"Data3";#N/A,#N/A,TRUE,"Residual"}</definedName>
    <definedName name="wrn.valuation." hidden="1">{"Page1",#N/A,FALSE,"7979";"Page2",#N/A,FALSE,"7979";"Page3",#N/A,FALSE,"7979"}</definedName>
    <definedName name="wrn.Value." hidden="1">{#N/A,#N/A,FALSE,"Cashflow Analysis";#N/A,#N/A,FALSE,"Sensitivity Analysis";#N/A,#N/A,FALSE,"PV";#N/A,#N/A,FALSE,"Pro Forma"}</definedName>
    <definedName name="y"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YEAR">#REF!</definedName>
    <definedName name="y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s>
  <calcPr calcId="191028" calcMode="manual"/>
  <pivotCaches>
    <pivotCache cacheId="0" r:id="rId30"/>
    <pivotCache cacheId="1" r:id="rId31"/>
    <pivotCache cacheId="2" r:id="rId32"/>
    <pivotCache cacheId="3" r:id="rId33"/>
  </pivotCaches>
  <extLst>
    <ext xmlns:x15="http://schemas.microsoft.com/office/spreadsheetml/2010/11/main" uri="{841E416B-1EF1-43b6-AB56-02D37102CBD5}">
      <x15:pivotCaches>
        <pivotCache cacheId="4" r:id="rId34"/>
      </x15:pivotCaches>
    </ext>
    <ext xmlns:x15="http://schemas.microsoft.com/office/spreadsheetml/2010/11/main" uri="{983426D0-5260-488c-9760-48F4B6AC55F4}">
      <x15:pivotTableReferences>
        <x15:pivotTableReference r:id="rId35"/>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3" name="Range 3" connection="WorksheetConnection_Tidy_LNG-Oil CI Fuel Input!$A:$F"/>
          <x15:modelTable id="Range 2" name="Range 2" connection="WorksheetConnection_Tidy_LNG-Oil CI Fuel Input!$A$1:$F$165"/>
          <x15:modelTable id="Range 1-9ad464de-5e05-4614-8928-8dec9344b226" name="Range 1" connection="WorksheetConnection_LNG Analysis - FUEL!$A:$F"/>
          <x15:modelTable id="Range" name="Range" connection="WorksheetConnection_Adjustable_HeatRate_CI!$A:$G"/>
          <x15:modelTable id="Range 4" name="Range 4" connection="WorksheetConnection_Adjustable_HeatRate_CI!$A:$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8" i="7" l="1"/>
  <c r="C67" i="7"/>
  <c r="I65" i="7"/>
  <c r="I66" i="7"/>
  <c r="I67" i="7"/>
  <c r="I68" i="7"/>
  <c r="I69" i="7"/>
  <c r="E65" i="7"/>
  <c r="E66" i="7"/>
  <c r="E67" i="7"/>
  <c r="E68" i="7"/>
  <c r="E69" i="7"/>
  <c r="C65" i="7"/>
  <c r="C66" i="7"/>
  <c r="C69" i="7"/>
  <c r="J53" i="7" l="1"/>
  <c r="B75" i="7"/>
  <c r="B74" i="7"/>
  <c r="C64" i="7"/>
  <c r="C27" i="1"/>
  <c r="I11" i="1"/>
  <c r="C30" i="1" s="1"/>
  <c r="G9" i="27" l="1"/>
  <c r="F9" i="27"/>
  <c r="F8" i="27"/>
  <c r="G8" i="27"/>
  <c r="C67" i="14"/>
  <c r="C30" i="14"/>
  <c r="B60" i="15"/>
  <c r="I11" i="14"/>
  <c r="B62" i="7"/>
  <c r="F30" i="1"/>
  <c r="L5" i="25"/>
  <c r="L3" i="25"/>
  <c r="F85" i="25" s="1"/>
  <c r="G85" i="25" s="1"/>
  <c r="L4" i="25"/>
  <c r="I6" i="1"/>
  <c r="L2" i="25"/>
  <c r="G27" i="1"/>
  <c r="I10" i="1"/>
  <c r="C53" i="14"/>
  <c r="D147" i="1"/>
  <c r="C65" i="14"/>
  <c r="F338" i="1"/>
  <c r="H338" i="1" s="1"/>
  <c r="G27" i="14"/>
  <c r="I10" i="14"/>
  <c r="F18" i="25" l="1"/>
  <c r="G18" i="25" s="1"/>
  <c r="F7" i="25"/>
  <c r="F121" i="25"/>
  <c r="G121" i="25" s="1"/>
  <c r="F2" i="25"/>
  <c r="G2" i="25" s="1"/>
  <c r="F122" i="25"/>
  <c r="G122" i="25" s="1"/>
  <c r="F100" i="25"/>
  <c r="G100" i="25" s="1"/>
  <c r="F99" i="25"/>
  <c r="G99" i="25" s="1"/>
  <c r="F145" i="25"/>
  <c r="G145" i="25" s="1"/>
  <c r="F161" i="25"/>
  <c r="G161" i="25" s="1"/>
  <c r="F98" i="25"/>
  <c r="G98" i="25" s="1"/>
  <c r="F160" i="25"/>
  <c r="G160" i="25" s="1"/>
  <c r="F84" i="25"/>
  <c r="G84" i="25" s="1"/>
  <c r="F159" i="25"/>
  <c r="G159" i="25" s="1"/>
  <c r="F83" i="25"/>
  <c r="G83" i="25" s="1"/>
  <c r="F76" i="25"/>
  <c r="G76" i="25" s="1"/>
  <c r="F144" i="25"/>
  <c r="G144" i="25" s="1"/>
  <c r="F143" i="25"/>
  <c r="G143" i="25" s="1"/>
  <c r="F137" i="25"/>
  <c r="G137" i="25" s="1"/>
  <c r="F123" i="25"/>
  <c r="G123" i="25" s="1"/>
  <c r="F120" i="25"/>
  <c r="G120" i="25" s="1"/>
  <c r="F101" i="25"/>
  <c r="G101" i="25" s="1"/>
  <c r="F119" i="25"/>
  <c r="G119" i="25" s="1"/>
  <c r="F77" i="25"/>
  <c r="G77" i="25" s="1"/>
  <c r="F75" i="25"/>
  <c r="G75" i="25" s="1"/>
  <c r="F136" i="25"/>
  <c r="G136" i="25" s="1"/>
  <c r="F135" i="25"/>
  <c r="G135" i="25" s="1"/>
  <c r="F96" i="25"/>
  <c r="G96" i="25" s="1"/>
  <c r="F134" i="25"/>
  <c r="G134" i="25" s="1"/>
  <c r="F72" i="25"/>
  <c r="G72" i="25" s="1"/>
  <c r="F155" i="25"/>
  <c r="G155" i="25" s="1"/>
  <c r="F111" i="25"/>
  <c r="G111" i="25" s="1"/>
  <c r="F89" i="25"/>
  <c r="G89" i="25" s="1"/>
  <c r="F149" i="25"/>
  <c r="G149" i="25" s="1"/>
  <c r="F132" i="25"/>
  <c r="G132" i="25" s="1"/>
  <c r="F110" i="25"/>
  <c r="G110" i="25" s="1"/>
  <c r="F88" i="25"/>
  <c r="G88" i="25" s="1"/>
  <c r="F148" i="25"/>
  <c r="G148" i="25" s="1"/>
  <c r="F131" i="25"/>
  <c r="G131" i="25" s="1"/>
  <c r="F109" i="25"/>
  <c r="G109" i="25" s="1"/>
  <c r="F87" i="25"/>
  <c r="G87" i="25" s="1"/>
  <c r="F97" i="25"/>
  <c r="G97" i="25" s="1"/>
  <c r="F113" i="25"/>
  <c r="G113" i="25" s="1"/>
  <c r="F112" i="25"/>
  <c r="G112" i="25" s="1"/>
  <c r="F86" i="25"/>
  <c r="G86" i="25" s="1"/>
  <c r="F158" i="25"/>
  <c r="G158" i="25" s="1"/>
  <c r="F74" i="25"/>
  <c r="G74" i="25" s="1"/>
  <c r="F157" i="25"/>
  <c r="G157" i="25" s="1"/>
  <c r="F73" i="25"/>
  <c r="G73" i="25" s="1"/>
  <c r="F156" i="25"/>
  <c r="G156" i="25" s="1"/>
  <c r="F95" i="25"/>
  <c r="G95" i="25" s="1"/>
  <c r="F133" i="25"/>
  <c r="G133" i="25" s="1"/>
  <c r="F71" i="25"/>
  <c r="G71" i="25" s="1"/>
  <c r="F147" i="25"/>
  <c r="G147" i="25" s="1"/>
  <c r="F125" i="25"/>
  <c r="G125" i="25" s="1"/>
  <c r="F108" i="25"/>
  <c r="G108" i="25" s="1"/>
  <c r="F146" i="25"/>
  <c r="G146" i="25" s="1"/>
  <c r="F124" i="25"/>
  <c r="G124" i="25" s="1"/>
  <c r="F107" i="25"/>
  <c r="G107" i="25" s="1"/>
  <c r="F14" i="25"/>
  <c r="G14" i="25" s="1"/>
  <c r="F65" i="25"/>
  <c r="G65" i="25" s="1"/>
  <c r="F53" i="25"/>
  <c r="G53" i="25" s="1"/>
  <c r="F41" i="25"/>
  <c r="G41" i="25" s="1"/>
  <c r="F17" i="25"/>
  <c r="G17" i="25" s="1"/>
  <c r="F52" i="25"/>
  <c r="G52" i="25" s="1"/>
  <c r="F15" i="25"/>
  <c r="G15" i="25" s="1"/>
  <c r="F39" i="25"/>
  <c r="G39" i="25" s="1"/>
  <c r="F26" i="25"/>
  <c r="G26" i="25" s="1"/>
  <c r="F61" i="25"/>
  <c r="G61" i="25" s="1"/>
  <c r="F49" i="25"/>
  <c r="G49" i="25" s="1"/>
  <c r="F12" i="25"/>
  <c r="G12" i="25" s="1"/>
  <c r="F60" i="25"/>
  <c r="G60" i="25" s="1"/>
  <c r="F36" i="25"/>
  <c r="G36" i="25" s="1"/>
  <c r="F24" i="25"/>
  <c r="G24" i="25" s="1"/>
  <c r="F59" i="25"/>
  <c r="G59" i="25" s="1"/>
  <c r="F47" i="25"/>
  <c r="G47" i="25" s="1"/>
  <c r="F35" i="25"/>
  <c r="G35" i="25" s="1"/>
  <c r="F23" i="25"/>
  <c r="G23" i="25" s="1"/>
  <c r="F10" i="25"/>
  <c r="G10" i="25" s="1"/>
  <c r="F58" i="25"/>
  <c r="G58" i="25" s="1"/>
  <c r="F46" i="25"/>
  <c r="G46" i="25" s="1"/>
  <c r="F34" i="25"/>
  <c r="G34" i="25" s="1"/>
  <c r="F22" i="25"/>
  <c r="G22" i="25" s="1"/>
  <c r="F9" i="25"/>
  <c r="G9" i="25" s="1"/>
  <c r="F64" i="25"/>
  <c r="G64" i="25" s="1"/>
  <c r="F28" i="25"/>
  <c r="G28" i="25" s="1"/>
  <c r="F63" i="25"/>
  <c r="G63" i="25" s="1"/>
  <c r="F27" i="25"/>
  <c r="G27" i="25" s="1"/>
  <c r="F62" i="25"/>
  <c r="G62" i="25" s="1"/>
  <c r="F38" i="25"/>
  <c r="G38" i="25" s="1"/>
  <c r="F13" i="25"/>
  <c r="G13" i="25" s="1"/>
  <c r="F37" i="25"/>
  <c r="G37" i="25" s="1"/>
  <c r="F48" i="25"/>
  <c r="G48" i="25" s="1"/>
  <c r="F11" i="25"/>
  <c r="G11" i="25" s="1"/>
  <c r="F57" i="25"/>
  <c r="G57" i="25" s="1"/>
  <c r="F45" i="25"/>
  <c r="G45" i="25" s="1"/>
  <c r="F33" i="25"/>
  <c r="G33" i="25" s="1"/>
  <c r="F21" i="25"/>
  <c r="G21" i="25" s="1"/>
  <c r="F8" i="25"/>
  <c r="G8" i="25" s="1"/>
  <c r="F56" i="25"/>
  <c r="G56" i="25" s="1"/>
  <c r="F44" i="25"/>
  <c r="G44" i="25" s="1"/>
  <c r="F32" i="25"/>
  <c r="G32" i="25" s="1"/>
  <c r="F20" i="25"/>
  <c r="G20" i="25" s="1"/>
  <c r="F5" i="25"/>
  <c r="G5" i="25" s="1"/>
  <c r="F29" i="25"/>
  <c r="G29" i="25" s="1"/>
  <c r="F40" i="25"/>
  <c r="G40" i="25" s="1"/>
  <c r="F51" i="25"/>
  <c r="G51" i="25" s="1"/>
  <c r="F50" i="25"/>
  <c r="G50" i="25" s="1"/>
  <c r="F25" i="25"/>
  <c r="G25" i="25" s="1"/>
  <c r="F55" i="25"/>
  <c r="G55" i="25" s="1"/>
  <c r="F43" i="25"/>
  <c r="G43" i="25" s="1"/>
  <c r="F31" i="25"/>
  <c r="G31" i="25" s="1"/>
  <c r="F19" i="25"/>
  <c r="G19" i="25" s="1"/>
  <c r="F54" i="25"/>
  <c r="G54" i="25" s="1"/>
  <c r="F42" i="25"/>
  <c r="G42" i="25" s="1"/>
  <c r="F30" i="25"/>
  <c r="G30" i="25" s="1"/>
  <c r="F4" i="25"/>
  <c r="G4" i="25" s="1"/>
  <c r="F3" i="25"/>
  <c r="G3" i="25" s="1"/>
  <c r="F16" i="25"/>
  <c r="G16" i="25" s="1"/>
  <c r="F154" i="25"/>
  <c r="G154" i="25" s="1"/>
  <c r="F142" i="25"/>
  <c r="G142" i="25" s="1"/>
  <c r="F118" i="25"/>
  <c r="G118" i="25" s="1"/>
  <c r="F106" i="25"/>
  <c r="G106" i="25" s="1"/>
  <c r="F82" i="25"/>
  <c r="G82" i="25" s="1"/>
  <c r="F70" i="25"/>
  <c r="G70" i="25" s="1"/>
  <c r="F153" i="25"/>
  <c r="G153" i="25" s="1"/>
  <c r="F129" i="25"/>
  <c r="G129" i="25" s="1"/>
  <c r="F117" i="25"/>
  <c r="G117" i="25" s="1"/>
  <c r="F93" i="25"/>
  <c r="G93" i="25" s="1"/>
  <c r="F81" i="25"/>
  <c r="G81" i="25" s="1"/>
  <c r="F69" i="25"/>
  <c r="G69" i="25" s="1"/>
  <c r="F152" i="25"/>
  <c r="G152" i="25" s="1"/>
  <c r="F140" i="25"/>
  <c r="G140" i="25" s="1"/>
  <c r="F128" i="25"/>
  <c r="G128" i="25" s="1"/>
  <c r="F116" i="25"/>
  <c r="G116" i="25" s="1"/>
  <c r="F104" i="25"/>
  <c r="G104" i="25" s="1"/>
  <c r="F92" i="25"/>
  <c r="G92" i="25" s="1"/>
  <c r="F80" i="25"/>
  <c r="G80" i="25" s="1"/>
  <c r="F68" i="25"/>
  <c r="G68" i="25" s="1"/>
  <c r="F163" i="25"/>
  <c r="G163" i="25" s="1"/>
  <c r="F151" i="25"/>
  <c r="G151" i="25" s="1"/>
  <c r="F139" i="25"/>
  <c r="G139" i="25" s="1"/>
  <c r="F127" i="25"/>
  <c r="G127" i="25" s="1"/>
  <c r="F115" i="25"/>
  <c r="G115" i="25" s="1"/>
  <c r="F103" i="25"/>
  <c r="G103" i="25" s="1"/>
  <c r="F91" i="25"/>
  <c r="G91" i="25" s="1"/>
  <c r="F79" i="25"/>
  <c r="G79" i="25" s="1"/>
  <c r="F67" i="25"/>
  <c r="G67" i="25" s="1"/>
  <c r="F130" i="25"/>
  <c r="G130" i="25" s="1"/>
  <c r="F94" i="25"/>
  <c r="G94" i="25" s="1"/>
  <c r="F165" i="25"/>
  <c r="G165" i="25" s="1"/>
  <c r="F141" i="25"/>
  <c r="G141" i="25" s="1"/>
  <c r="F105" i="25"/>
  <c r="G105" i="25" s="1"/>
  <c r="F164" i="25"/>
  <c r="G164" i="25" s="1"/>
  <c r="F162" i="25"/>
  <c r="G162" i="25" s="1"/>
  <c r="F150" i="25"/>
  <c r="G150" i="25" s="1"/>
  <c r="F138" i="25"/>
  <c r="G138" i="25" s="1"/>
  <c r="F126" i="25"/>
  <c r="G126" i="25" s="1"/>
  <c r="F114" i="25"/>
  <c r="G114" i="25" s="1"/>
  <c r="F102" i="25"/>
  <c r="G102" i="25" s="1"/>
  <c r="F90" i="25"/>
  <c r="G90" i="25" s="1"/>
  <c r="F78" i="25"/>
  <c r="G78" i="25" s="1"/>
  <c r="F66" i="25"/>
  <c r="G66" i="25" s="1"/>
  <c r="G7" i="25"/>
  <c r="F6" i="25"/>
  <c r="G6" i="25" s="1"/>
  <c r="F27" i="14" l="1"/>
  <c r="E27" i="14"/>
  <c r="D27" i="14"/>
  <c r="C27" i="14"/>
  <c r="D172" i="1"/>
  <c r="C45" i="15"/>
  <c r="I6" i="14" l="1"/>
  <c r="B28" i="15" s="1"/>
  <c r="B31" i="8" l="1"/>
  <c r="K22" i="8"/>
  <c r="H43" i="8" l="1"/>
  <c r="B10" i="5"/>
  <c r="B11" i="5" s="1"/>
  <c r="D14" i="11" l="1"/>
  <c r="F338" i="14" l="1"/>
  <c r="H336" i="14" s="1"/>
  <c r="D336" i="14"/>
  <c r="D336" i="1"/>
  <c r="H338" i="14" l="1"/>
  <c r="D44" i="11" l="1"/>
  <c r="D45" i="11" s="1"/>
  <c r="E44" i="11"/>
  <c r="F44" i="11"/>
  <c r="G44" i="11"/>
  <c r="E45" i="11"/>
  <c r="F45" i="11"/>
  <c r="E46" i="15" s="1"/>
  <c r="G45" i="11"/>
  <c r="I46" i="15" s="1"/>
  <c r="D39" i="11"/>
  <c r="E39" i="11"/>
  <c r="E40" i="11" s="1"/>
  <c r="F39" i="11"/>
  <c r="F40" i="11" s="1"/>
  <c r="E45" i="15" s="1"/>
  <c r="G39" i="11"/>
  <c r="G40" i="11" s="1"/>
  <c r="I45" i="15" s="1"/>
  <c r="D40" i="11"/>
  <c r="H39" i="11"/>
  <c r="C323" i="14"/>
  <c r="C324" i="14" s="1"/>
  <c r="F332" i="14" s="1"/>
  <c r="C299" i="14"/>
  <c r="C286" i="14" s="1"/>
  <c r="C301" i="14" s="1"/>
  <c r="D255" i="14"/>
  <c r="N198" i="14"/>
  <c r="C207" i="14" s="1"/>
  <c r="H49" i="15" s="1"/>
  <c r="M198" i="14"/>
  <c r="C206" i="14" s="1"/>
  <c r="G49" i="15" s="1"/>
  <c r="L198" i="14"/>
  <c r="C205" i="14" s="1"/>
  <c r="F49" i="15" s="1"/>
  <c r="K198" i="14"/>
  <c r="C204" i="14" s="1"/>
  <c r="E49" i="15" s="1"/>
  <c r="J198" i="14"/>
  <c r="C203" i="14" s="1"/>
  <c r="D49" i="15" s="1"/>
  <c r="I198" i="14"/>
  <c r="C202" i="14" s="1"/>
  <c r="H198" i="14"/>
  <c r="G198" i="14"/>
  <c r="F198" i="14"/>
  <c r="N168" i="14"/>
  <c r="C177" i="14" s="1"/>
  <c r="H44" i="15" s="1"/>
  <c r="M168" i="14"/>
  <c r="C176" i="14" s="1"/>
  <c r="G44" i="15" s="1"/>
  <c r="L168" i="14"/>
  <c r="C175" i="14" s="1"/>
  <c r="F44" i="15" s="1"/>
  <c r="K168" i="14"/>
  <c r="C174" i="14" s="1"/>
  <c r="E44" i="15" s="1"/>
  <c r="E47" i="15" s="1"/>
  <c r="J168" i="14"/>
  <c r="C173" i="14" s="1"/>
  <c r="D44" i="15" s="1"/>
  <c r="D47" i="15" s="1"/>
  <c r="I168" i="14"/>
  <c r="C172" i="14" s="1"/>
  <c r="H168" i="14"/>
  <c r="G168" i="14"/>
  <c r="F168" i="14"/>
  <c r="L143" i="14"/>
  <c r="L146" i="14" s="1"/>
  <c r="C147" i="14" s="1"/>
  <c r="K143" i="14"/>
  <c r="J143" i="14"/>
  <c r="I143" i="14"/>
  <c r="H143" i="14"/>
  <c r="G143" i="14"/>
  <c r="F143" i="14"/>
  <c r="D334" i="14"/>
  <c r="D332" i="14"/>
  <c r="D330" i="14"/>
  <c r="K322" i="14"/>
  <c r="K323" i="14" s="1"/>
  <c r="K324" i="14" s="1"/>
  <c r="J322" i="14"/>
  <c r="J323" i="14" s="1"/>
  <c r="J324" i="14" s="1"/>
  <c r="I322" i="14"/>
  <c r="I323" i="14" s="1"/>
  <c r="I324" i="14" s="1"/>
  <c r="H322" i="14"/>
  <c r="H323" i="14" s="1"/>
  <c r="H324" i="14" s="1"/>
  <c r="F336" i="14" s="1"/>
  <c r="G322" i="14"/>
  <c r="G323" i="14" s="1"/>
  <c r="G324" i="14" s="1"/>
  <c r="F322" i="14"/>
  <c r="F323" i="14" s="1"/>
  <c r="F324" i="14" s="1"/>
  <c r="E322" i="14"/>
  <c r="E323" i="14" s="1"/>
  <c r="E324" i="14" s="1"/>
  <c r="D322" i="14"/>
  <c r="D323" i="14" s="1"/>
  <c r="D324" i="14" s="1"/>
  <c r="C322" i="14"/>
  <c r="C298" i="14"/>
  <c r="C285" i="14"/>
  <c r="F278" i="14"/>
  <c r="F279" i="14" s="1"/>
  <c r="E278" i="14"/>
  <c r="E279" i="14" s="1"/>
  <c r="E280" i="14" s="1"/>
  <c r="E281" i="14" s="1"/>
  <c r="C278" i="14"/>
  <c r="C279" i="14" s="1"/>
  <c r="C280" i="14" s="1"/>
  <c r="C281" i="14" s="1"/>
  <c r="D254" i="14"/>
  <c r="C254" i="14"/>
  <c r="C255" i="14" s="1"/>
  <c r="C257" i="14" s="1"/>
  <c r="C258" i="14" s="1"/>
  <c r="F228" i="14"/>
  <c r="F229" i="14" s="1"/>
  <c r="E228" i="14"/>
  <c r="E229" i="14" s="1"/>
  <c r="D228" i="14"/>
  <c r="D229" i="14" s="1"/>
  <c r="C228" i="14"/>
  <c r="C229" i="14" s="1"/>
  <c r="D207" i="14"/>
  <c r="D206" i="14"/>
  <c r="D205" i="14"/>
  <c r="D204" i="14"/>
  <c r="D203" i="14"/>
  <c r="D202" i="14"/>
  <c r="C197" i="14"/>
  <c r="C198" i="14" s="1"/>
  <c r="D177" i="14"/>
  <c r="D176" i="14"/>
  <c r="D175" i="14"/>
  <c r="D174" i="14"/>
  <c r="D173" i="14"/>
  <c r="D172" i="14"/>
  <c r="C47" i="15" s="1"/>
  <c r="C167" i="14"/>
  <c r="C168" i="14" s="1"/>
  <c r="D147" i="14"/>
  <c r="C142" i="14"/>
  <c r="C143" i="14" s="1"/>
  <c r="F112" i="14"/>
  <c r="F113" i="14" s="1"/>
  <c r="C117" i="14" s="1"/>
  <c r="E4" i="15" s="1"/>
  <c r="D112" i="14"/>
  <c r="D113" i="14" s="1"/>
  <c r="C116" i="14" s="1"/>
  <c r="D4" i="15" s="1"/>
  <c r="C112" i="14"/>
  <c r="E111" i="14"/>
  <c r="E110" i="14"/>
  <c r="E109" i="14"/>
  <c r="E108" i="14"/>
  <c r="E107" i="14"/>
  <c r="E106" i="14"/>
  <c r="E105" i="14"/>
  <c r="E104" i="14"/>
  <c r="E103" i="14"/>
  <c r="E102" i="14"/>
  <c r="E101" i="14"/>
  <c r="P86" i="14"/>
  <c r="P87" i="14" s="1"/>
  <c r="N86" i="14"/>
  <c r="N87" i="14" s="1"/>
  <c r="S85" i="14"/>
  <c r="L85" i="14"/>
  <c r="J85" i="14"/>
  <c r="H85" i="14"/>
  <c r="F85" i="14"/>
  <c r="D85" i="14"/>
  <c r="S84" i="14"/>
  <c r="L84" i="14"/>
  <c r="J84" i="14"/>
  <c r="H84" i="14"/>
  <c r="F84" i="14"/>
  <c r="D84" i="14"/>
  <c r="S83" i="14"/>
  <c r="L83" i="14"/>
  <c r="J83" i="14"/>
  <c r="H83" i="14"/>
  <c r="F83" i="14"/>
  <c r="D83" i="14"/>
  <c r="S82" i="14"/>
  <c r="L82" i="14"/>
  <c r="J82" i="14"/>
  <c r="H82" i="14"/>
  <c r="F82" i="14"/>
  <c r="D82" i="14"/>
  <c r="S81" i="14"/>
  <c r="L81" i="14"/>
  <c r="J81" i="14"/>
  <c r="H81" i="14"/>
  <c r="F81" i="14"/>
  <c r="D81" i="14"/>
  <c r="S80" i="14"/>
  <c r="L80" i="14"/>
  <c r="J80" i="14"/>
  <c r="H80" i="14"/>
  <c r="F80" i="14"/>
  <c r="D80" i="14"/>
  <c r="S79" i="14"/>
  <c r="L79" i="14"/>
  <c r="J79" i="14"/>
  <c r="H79" i="14"/>
  <c r="F79" i="14"/>
  <c r="D79" i="14"/>
  <c r="S78" i="14"/>
  <c r="L78" i="14"/>
  <c r="J78" i="14"/>
  <c r="H78" i="14"/>
  <c r="F78" i="14"/>
  <c r="D78" i="14"/>
  <c r="S77" i="14"/>
  <c r="L77" i="14"/>
  <c r="J77" i="14"/>
  <c r="H77" i="14"/>
  <c r="F77" i="14"/>
  <c r="D77" i="14"/>
  <c r="S76" i="14"/>
  <c r="L76" i="14"/>
  <c r="J76" i="14"/>
  <c r="H76" i="14"/>
  <c r="F76" i="14"/>
  <c r="D76" i="14"/>
  <c r="S75" i="14"/>
  <c r="L75" i="14"/>
  <c r="J75" i="14"/>
  <c r="H75" i="14"/>
  <c r="F75" i="14"/>
  <c r="D75" i="14"/>
  <c r="P64" i="14"/>
  <c r="N64" i="14"/>
  <c r="L64" i="14"/>
  <c r="J63" i="14"/>
  <c r="H63" i="14"/>
  <c r="F63" i="14"/>
  <c r="D63" i="14"/>
  <c r="C63" i="14"/>
  <c r="J62" i="14"/>
  <c r="H62" i="14"/>
  <c r="F62" i="14"/>
  <c r="D62" i="14"/>
  <c r="C62" i="14"/>
  <c r="J61" i="14"/>
  <c r="H61" i="14"/>
  <c r="F61" i="14"/>
  <c r="D61" i="14"/>
  <c r="P61" i="14" s="1"/>
  <c r="C61" i="14"/>
  <c r="J60" i="14"/>
  <c r="H60" i="14"/>
  <c r="F60" i="14"/>
  <c r="D60" i="14"/>
  <c r="C60" i="14"/>
  <c r="J59" i="14"/>
  <c r="H59" i="14"/>
  <c r="F59" i="14"/>
  <c r="D59" i="14"/>
  <c r="C59" i="14"/>
  <c r="J58" i="14"/>
  <c r="H58" i="14"/>
  <c r="F58" i="14"/>
  <c r="D58" i="14"/>
  <c r="C58" i="14"/>
  <c r="J57" i="14"/>
  <c r="H57" i="14"/>
  <c r="F57" i="14"/>
  <c r="D57" i="14"/>
  <c r="J56" i="14"/>
  <c r="H56" i="14"/>
  <c r="F56" i="14"/>
  <c r="D56" i="14"/>
  <c r="C56" i="14"/>
  <c r="J55" i="14"/>
  <c r="H55" i="14"/>
  <c r="F55" i="14"/>
  <c r="D55" i="14"/>
  <c r="C55" i="14"/>
  <c r="J54" i="14"/>
  <c r="H54" i="14"/>
  <c r="F54" i="14"/>
  <c r="D54" i="14"/>
  <c r="J53" i="14"/>
  <c r="H53" i="14"/>
  <c r="F53" i="14"/>
  <c r="D53" i="14"/>
  <c r="G30" i="14"/>
  <c r="K80" i="14" s="1"/>
  <c r="F30" i="14"/>
  <c r="E30" i="14"/>
  <c r="D30" i="14"/>
  <c r="E75" i="14" s="1"/>
  <c r="M59" i="14"/>
  <c r="I53" i="14"/>
  <c r="E57" i="14"/>
  <c r="H11" i="14"/>
  <c r="H6" i="14"/>
  <c r="N198" i="1"/>
  <c r="M198" i="1"/>
  <c r="L198" i="1"/>
  <c r="K198" i="1"/>
  <c r="J198" i="1"/>
  <c r="I198" i="1"/>
  <c r="H198" i="1"/>
  <c r="G198" i="1"/>
  <c r="F198" i="1"/>
  <c r="N168" i="1"/>
  <c r="M168" i="1"/>
  <c r="L168" i="1"/>
  <c r="K168" i="1"/>
  <c r="J168" i="1"/>
  <c r="I168" i="1"/>
  <c r="H168" i="1"/>
  <c r="G168" i="1"/>
  <c r="F168" i="1"/>
  <c r="C171" i="1" s="1"/>
  <c r="L143" i="1"/>
  <c r="K143" i="1"/>
  <c r="J143" i="1"/>
  <c r="I143" i="1"/>
  <c r="H143" i="1"/>
  <c r="G143" i="1"/>
  <c r="F143" i="1"/>
  <c r="F278" i="1"/>
  <c r="F279" i="1" s="1"/>
  <c r="E278" i="1"/>
  <c r="E279" i="1" s="1"/>
  <c r="C278" i="1"/>
  <c r="C279" i="1" s="1"/>
  <c r="D254" i="1"/>
  <c r="D255" i="1" s="1"/>
  <c r="C254" i="1"/>
  <c r="C255" i="1" s="1"/>
  <c r="C197" i="1"/>
  <c r="C198" i="1" s="1"/>
  <c r="C142" i="1"/>
  <c r="C143" i="1" s="1"/>
  <c r="F112" i="1"/>
  <c r="F113" i="1" s="1"/>
  <c r="C112" i="1"/>
  <c r="C113" i="1" s="1"/>
  <c r="D44" i="4"/>
  <c r="D45" i="4" s="1"/>
  <c r="E44" i="4"/>
  <c r="E45" i="4" s="1"/>
  <c r="F44" i="4"/>
  <c r="F45" i="4" s="1"/>
  <c r="E50" i="7" s="1"/>
  <c r="G44" i="4"/>
  <c r="G45" i="4"/>
  <c r="I50" i="7" s="1"/>
  <c r="D39" i="4"/>
  <c r="D40" i="4" s="1"/>
  <c r="E39" i="4"/>
  <c r="E40" i="4" s="1"/>
  <c r="F39" i="4"/>
  <c r="G39" i="4"/>
  <c r="G40" i="4" s="1"/>
  <c r="I49" i="7" s="1"/>
  <c r="F40" i="4"/>
  <c r="E49" i="7" s="1"/>
  <c r="H39" i="4"/>
  <c r="E22" i="4"/>
  <c r="E23" i="4" s="1"/>
  <c r="E11" i="7" s="1"/>
  <c r="F22" i="4"/>
  <c r="G22" i="4"/>
  <c r="G23" i="4" s="1"/>
  <c r="F11" i="7" s="1"/>
  <c r="D22" i="4"/>
  <c r="F10" i="7"/>
  <c r="E22" i="11"/>
  <c r="F22" i="11"/>
  <c r="G22" i="11"/>
  <c r="E23" i="11"/>
  <c r="E7" i="15" s="1"/>
  <c r="E33" i="15" s="1"/>
  <c r="F23" i="11"/>
  <c r="D7" i="15" s="1"/>
  <c r="G23" i="11"/>
  <c r="F7" i="15" s="1"/>
  <c r="F33" i="15" s="1"/>
  <c r="D22" i="11"/>
  <c r="H43" i="11"/>
  <c r="H44" i="11" s="1"/>
  <c r="H45" i="11" s="1"/>
  <c r="C46" i="15" s="1"/>
  <c r="H38" i="11"/>
  <c r="H37" i="11"/>
  <c r="H36" i="11"/>
  <c r="H35" i="11"/>
  <c r="H34" i="11"/>
  <c r="H33" i="11"/>
  <c r="H32" i="11"/>
  <c r="H31" i="11"/>
  <c r="H30" i="11"/>
  <c r="H29" i="11"/>
  <c r="H28" i="11"/>
  <c r="H27" i="11"/>
  <c r="D23" i="11"/>
  <c r="C10" i="15" s="1"/>
  <c r="F14" i="11"/>
  <c r="D6" i="15" s="1"/>
  <c r="D18" i="15" s="1"/>
  <c r="E14" i="11"/>
  <c r="E6" i="15" s="1"/>
  <c r="G13" i="11"/>
  <c r="G14" i="11" s="1"/>
  <c r="F6" i="15" s="1"/>
  <c r="F13" i="11"/>
  <c r="E13" i="11"/>
  <c r="D13" i="11"/>
  <c r="C6" i="15" s="1"/>
  <c r="H43" i="4"/>
  <c r="H44" i="4" s="1"/>
  <c r="H45" i="4" s="1"/>
  <c r="C50" i="7" s="1"/>
  <c r="L4" i="9"/>
  <c r="B7" i="5"/>
  <c r="G13" i="4"/>
  <c r="G14" i="4" s="1"/>
  <c r="E13" i="4"/>
  <c r="E14" i="4" s="1"/>
  <c r="E10" i="7" s="1"/>
  <c r="F13" i="4"/>
  <c r="F14" i="4" s="1"/>
  <c r="D10" i="7" s="1"/>
  <c r="D13" i="4"/>
  <c r="D14" i="4" s="1"/>
  <c r="C10" i="7" s="1"/>
  <c r="M84" i="14" l="1"/>
  <c r="D67" i="15"/>
  <c r="C84" i="14"/>
  <c r="C201" i="14"/>
  <c r="C49" i="15" s="1"/>
  <c r="C57" i="15" s="1"/>
  <c r="E23" i="7"/>
  <c r="C22" i="7"/>
  <c r="D22" i="7"/>
  <c r="E22" i="7"/>
  <c r="F22" i="7"/>
  <c r="F23" i="7"/>
  <c r="C18" i="15"/>
  <c r="C32" i="15"/>
  <c r="C22" i="15"/>
  <c r="C36" i="15"/>
  <c r="E16" i="15"/>
  <c r="E30" i="15"/>
  <c r="E18" i="15"/>
  <c r="E32" i="15"/>
  <c r="F18" i="15"/>
  <c r="F32" i="15"/>
  <c r="I54" i="15"/>
  <c r="E54" i="15"/>
  <c r="F57" i="15"/>
  <c r="H57" i="15"/>
  <c r="D57" i="15"/>
  <c r="E57" i="15"/>
  <c r="F52" i="15"/>
  <c r="H52" i="15"/>
  <c r="I53" i="15"/>
  <c r="E53" i="15"/>
  <c r="C54" i="15"/>
  <c r="G57" i="15"/>
  <c r="G52" i="15"/>
  <c r="J64" i="14"/>
  <c r="R79" i="14"/>
  <c r="K83" i="14"/>
  <c r="K59" i="14"/>
  <c r="K82" i="14"/>
  <c r="C146" i="14"/>
  <c r="C148" i="14" s="1"/>
  <c r="E231" i="14"/>
  <c r="E232" i="14" s="1"/>
  <c r="D64" i="14"/>
  <c r="D65" i="14" s="1"/>
  <c r="F4" i="15" s="1"/>
  <c r="C48" i="15"/>
  <c r="F330" i="14"/>
  <c r="H330" i="14" s="1"/>
  <c r="F64" i="14"/>
  <c r="F65" i="14" s="1"/>
  <c r="H64" i="14"/>
  <c r="H65" i="14" s="1"/>
  <c r="K81" i="14"/>
  <c r="M82" i="14"/>
  <c r="O83" i="14"/>
  <c r="K78" i="14"/>
  <c r="M83" i="14"/>
  <c r="K77" i="14"/>
  <c r="O82" i="14"/>
  <c r="R83" i="14"/>
  <c r="M81" i="14"/>
  <c r="M80" i="14"/>
  <c r="R81" i="14"/>
  <c r="M76" i="14"/>
  <c r="O80" i="14"/>
  <c r="O76" i="14"/>
  <c r="R80" i="14"/>
  <c r="I84" i="14"/>
  <c r="R82" i="14"/>
  <c r="H86" i="14"/>
  <c r="H87" i="14" s="1"/>
  <c r="M77" i="14"/>
  <c r="I85" i="14"/>
  <c r="O77" i="14"/>
  <c r="K75" i="14"/>
  <c r="R77" i="14"/>
  <c r="K85" i="14"/>
  <c r="O75" i="14"/>
  <c r="R76" i="14"/>
  <c r="K79" i="14"/>
  <c r="I83" i="14"/>
  <c r="R85" i="14"/>
  <c r="M78" i="14"/>
  <c r="K76" i="14"/>
  <c r="O81" i="14"/>
  <c r="R75" i="14"/>
  <c r="K84" i="14"/>
  <c r="D48" i="15"/>
  <c r="D52" i="15"/>
  <c r="E48" i="15"/>
  <c r="E66" i="15" s="1"/>
  <c r="E52" i="15"/>
  <c r="F19" i="15"/>
  <c r="D33" i="15"/>
  <c r="D19" i="15"/>
  <c r="E19" i="15"/>
  <c r="D30" i="15"/>
  <c r="D16" i="15"/>
  <c r="C231" i="14"/>
  <c r="C232" i="14" s="1"/>
  <c r="C7" i="15"/>
  <c r="C33" i="15" s="1"/>
  <c r="H40" i="11"/>
  <c r="G47" i="15"/>
  <c r="G48" i="15"/>
  <c r="H47" i="15"/>
  <c r="H48" i="15"/>
  <c r="H332" i="14"/>
  <c r="D12" i="15"/>
  <c r="D24" i="15" s="1"/>
  <c r="D9" i="15"/>
  <c r="D21" i="15" s="1"/>
  <c r="F47" i="15"/>
  <c r="F48" i="15"/>
  <c r="G6" i="15"/>
  <c r="G32" i="15" s="1"/>
  <c r="E13" i="15"/>
  <c r="E39" i="15" s="1"/>
  <c r="E10" i="15"/>
  <c r="E36" i="15" s="1"/>
  <c r="E12" i="15"/>
  <c r="E9" i="15"/>
  <c r="D32" i="15"/>
  <c r="S86" i="14"/>
  <c r="S87" i="14" s="1"/>
  <c r="J46" i="15"/>
  <c r="F86" i="14"/>
  <c r="F87" i="14" s="1"/>
  <c r="C9" i="15"/>
  <c r="D86" i="14"/>
  <c r="D87" i="14" s="1"/>
  <c r="J65" i="14"/>
  <c r="L86" i="14"/>
  <c r="L87" i="14" s="1"/>
  <c r="C171" i="14"/>
  <c r="C44" i="15" s="1"/>
  <c r="C62" i="15" s="1"/>
  <c r="G56" i="14"/>
  <c r="G63" i="14"/>
  <c r="G57" i="14"/>
  <c r="G58" i="14"/>
  <c r="G59" i="14"/>
  <c r="G54" i="14"/>
  <c r="G60" i="14"/>
  <c r="G55" i="14"/>
  <c r="G62" i="14"/>
  <c r="G61" i="14"/>
  <c r="K60" i="14"/>
  <c r="K61" i="14"/>
  <c r="O63" i="14"/>
  <c r="O61" i="14"/>
  <c r="M60" i="14"/>
  <c r="K55" i="14"/>
  <c r="M63" i="14"/>
  <c r="M62" i="14"/>
  <c r="O56" i="14"/>
  <c r="K63" i="14"/>
  <c r="M61" i="14"/>
  <c r="M56" i="14"/>
  <c r="K62" i="14"/>
  <c r="O57" i="14"/>
  <c r="K56" i="14"/>
  <c r="M57" i="14"/>
  <c r="K57" i="14"/>
  <c r="O53" i="14"/>
  <c r="O58" i="14"/>
  <c r="M53" i="14"/>
  <c r="M58" i="14"/>
  <c r="K53" i="14"/>
  <c r="O59" i="14"/>
  <c r="K58" i="14"/>
  <c r="M55" i="14"/>
  <c r="O55" i="14"/>
  <c r="N62" i="14"/>
  <c r="L62" i="14"/>
  <c r="C208" i="14"/>
  <c r="E86" i="14"/>
  <c r="K54" i="14"/>
  <c r="M54" i="14"/>
  <c r="O60" i="14"/>
  <c r="O62" i="14"/>
  <c r="F334" i="14"/>
  <c r="H334" i="14" s="1"/>
  <c r="O54" i="14"/>
  <c r="P62" i="14"/>
  <c r="P65" i="14" s="1"/>
  <c r="L61" i="14"/>
  <c r="N61" i="14"/>
  <c r="I58" i="14"/>
  <c r="I62" i="14"/>
  <c r="I59" i="14"/>
  <c r="I60" i="14"/>
  <c r="I54" i="14"/>
  <c r="I55" i="14"/>
  <c r="I63" i="14"/>
  <c r="I61" i="14"/>
  <c r="I56" i="14"/>
  <c r="I57" i="14"/>
  <c r="G53" i="14"/>
  <c r="C113" i="14"/>
  <c r="E112" i="14"/>
  <c r="E54" i="14"/>
  <c r="E55" i="14"/>
  <c r="E56" i="14"/>
  <c r="E58" i="14"/>
  <c r="E53" i="14"/>
  <c r="E59" i="14"/>
  <c r="E60" i="14"/>
  <c r="E63" i="14"/>
  <c r="E62" i="14"/>
  <c r="E61" i="14"/>
  <c r="E83" i="14"/>
  <c r="E77" i="14"/>
  <c r="E76" i="14"/>
  <c r="C81" i="14"/>
  <c r="G82" i="14"/>
  <c r="G76" i="14"/>
  <c r="G75" i="14"/>
  <c r="E78" i="14"/>
  <c r="E79" i="14"/>
  <c r="E80" i="14"/>
  <c r="O85" i="14"/>
  <c r="O79" i="14"/>
  <c r="M85" i="14"/>
  <c r="R84" i="14"/>
  <c r="I81" i="14"/>
  <c r="M79" i="14"/>
  <c r="R78" i="14"/>
  <c r="I75" i="14"/>
  <c r="O84" i="14"/>
  <c r="O78" i="14"/>
  <c r="G77" i="14"/>
  <c r="E81" i="14"/>
  <c r="I76" i="14"/>
  <c r="G78" i="14"/>
  <c r="G79" i="14"/>
  <c r="G80" i="14"/>
  <c r="E82" i="14"/>
  <c r="C178" i="14"/>
  <c r="J86" i="14"/>
  <c r="J87" i="14" s="1"/>
  <c r="I77" i="14"/>
  <c r="G81" i="14"/>
  <c r="E84" i="14"/>
  <c r="E85" i="14"/>
  <c r="I78" i="14"/>
  <c r="I79" i="14"/>
  <c r="I80" i="14"/>
  <c r="G83" i="14"/>
  <c r="C54" i="14"/>
  <c r="C57" i="14"/>
  <c r="M75" i="14"/>
  <c r="I82" i="14"/>
  <c r="G84" i="14"/>
  <c r="G85" i="14"/>
  <c r="G10" i="7"/>
  <c r="F23" i="4"/>
  <c r="D11" i="7" s="1"/>
  <c r="L5" i="9"/>
  <c r="N3" i="9" s="1"/>
  <c r="H12" i="15" l="1"/>
  <c r="H6" i="15"/>
  <c r="H9" i="15"/>
  <c r="H10" i="7"/>
  <c r="E63" i="15"/>
  <c r="C85" i="14"/>
  <c r="C76" i="14"/>
  <c r="E65" i="15"/>
  <c r="E64" i="15"/>
  <c r="C86" i="14"/>
  <c r="C79" i="14"/>
  <c r="C83" i="14"/>
  <c r="C80" i="14"/>
  <c r="C75" i="14"/>
  <c r="C82" i="14"/>
  <c r="C77" i="14"/>
  <c r="C78" i="14"/>
  <c r="C87" i="14"/>
  <c r="C89" i="14" s="1"/>
  <c r="C91" i="14" s="1"/>
  <c r="D10" i="15"/>
  <c r="D36" i="15" s="1"/>
  <c r="G22" i="7"/>
  <c r="F66" i="15"/>
  <c r="E24" i="15"/>
  <c r="E38" i="15"/>
  <c r="F16" i="15"/>
  <c r="F30" i="15"/>
  <c r="C21" i="15"/>
  <c r="C35" i="15"/>
  <c r="E21" i="15"/>
  <c r="E35" i="15"/>
  <c r="E62" i="15"/>
  <c r="E56" i="15"/>
  <c r="H66" i="15"/>
  <c r="G62" i="15"/>
  <c r="F62" i="15"/>
  <c r="F67" i="15"/>
  <c r="F65" i="15"/>
  <c r="H65" i="15"/>
  <c r="H67" i="15"/>
  <c r="D55" i="15"/>
  <c r="D65" i="15"/>
  <c r="D56" i="15"/>
  <c r="D66" i="15"/>
  <c r="H62" i="15"/>
  <c r="G66" i="15"/>
  <c r="C56" i="15"/>
  <c r="C66" i="15"/>
  <c r="G67" i="15"/>
  <c r="D62" i="15"/>
  <c r="C52" i="15"/>
  <c r="I63" i="15"/>
  <c r="E67" i="15"/>
  <c r="C67" i="15"/>
  <c r="C64" i="15"/>
  <c r="I64" i="15"/>
  <c r="J64" i="15"/>
  <c r="C53" i="15"/>
  <c r="C63" i="15"/>
  <c r="F10" i="15"/>
  <c r="F36" i="15" s="1"/>
  <c r="K86" i="14"/>
  <c r="K87" i="14" s="1"/>
  <c r="I64" i="14"/>
  <c r="I65" i="14" s="1"/>
  <c r="I67" i="14" s="1"/>
  <c r="I69" i="14" s="1"/>
  <c r="R86" i="14"/>
  <c r="R87" i="14" s="1"/>
  <c r="G86" i="14"/>
  <c r="I86" i="14"/>
  <c r="I87" i="14" s="1"/>
  <c r="M86" i="14"/>
  <c r="M87" i="14" s="1"/>
  <c r="F13" i="15"/>
  <c r="F39" i="15" s="1"/>
  <c r="F9" i="15"/>
  <c r="F12" i="15"/>
  <c r="D13" i="15"/>
  <c r="O64" i="14"/>
  <c r="O65" i="14" s="1"/>
  <c r="N65" i="14"/>
  <c r="K64" i="14"/>
  <c r="K65" i="14" s="1"/>
  <c r="E64" i="14"/>
  <c r="E65" i="14" s="1"/>
  <c r="E67" i="14" s="1"/>
  <c r="E68" i="14" s="1"/>
  <c r="L65" i="14"/>
  <c r="O86" i="14"/>
  <c r="O87" i="14" s="1"/>
  <c r="G56" i="15"/>
  <c r="G65" i="15"/>
  <c r="G55" i="15"/>
  <c r="F56" i="15"/>
  <c r="F55" i="15"/>
  <c r="H55" i="15"/>
  <c r="E55" i="15"/>
  <c r="H56" i="15"/>
  <c r="D23" i="7"/>
  <c r="G18" i="15"/>
  <c r="E22" i="15"/>
  <c r="C19" i="15"/>
  <c r="E25" i="15"/>
  <c r="G7" i="15"/>
  <c r="G33" i="15" s="1"/>
  <c r="I44" i="15"/>
  <c r="I62" i="15" s="1"/>
  <c r="C65" i="15"/>
  <c r="D38" i="15"/>
  <c r="D35" i="15"/>
  <c r="M64" i="14"/>
  <c r="M65" i="14" s="1"/>
  <c r="G87" i="14"/>
  <c r="G89" i="14" s="1"/>
  <c r="F114" i="14"/>
  <c r="E113" i="14"/>
  <c r="C115" i="14" s="1"/>
  <c r="C4" i="15" s="1"/>
  <c r="C30" i="15" s="1"/>
  <c r="E87" i="14"/>
  <c r="E89" i="14" s="1"/>
  <c r="G64" i="14"/>
  <c r="G65" i="14" s="1"/>
  <c r="G67" i="14" s="1"/>
  <c r="C64" i="14"/>
  <c r="N4" i="9"/>
  <c r="H16" i="7"/>
  <c r="H13" i="7"/>
  <c r="D22" i="15" l="1"/>
  <c r="H11" i="7"/>
  <c r="D9" i="7" s="1"/>
  <c r="H10" i="15"/>
  <c r="H13" i="15"/>
  <c r="E11" i="15" s="1"/>
  <c r="E37" i="15" s="1"/>
  <c r="H7" i="15"/>
  <c r="C5" i="15" s="1"/>
  <c r="D11" i="15"/>
  <c r="F9" i="7"/>
  <c r="F21" i="7" s="1"/>
  <c r="E9" i="7"/>
  <c r="E21" i="7" s="1"/>
  <c r="F5" i="15"/>
  <c r="E5" i="15"/>
  <c r="D5" i="15"/>
  <c r="K89" i="14"/>
  <c r="K91" i="14" s="1"/>
  <c r="R89" i="14"/>
  <c r="R90" i="14" s="1"/>
  <c r="D21" i="7"/>
  <c r="C17" i="15"/>
  <c r="C31" i="15"/>
  <c r="F21" i="15"/>
  <c r="F35" i="15"/>
  <c r="F24" i="15"/>
  <c r="F38" i="15"/>
  <c r="G10" i="15"/>
  <c r="G36" i="15" s="1"/>
  <c r="F22" i="15"/>
  <c r="G9" i="15"/>
  <c r="G35" i="15" s="1"/>
  <c r="F25" i="15"/>
  <c r="C90" i="14"/>
  <c r="I89" i="14"/>
  <c r="I90" i="14" s="1"/>
  <c r="M89" i="14"/>
  <c r="M90" i="14" s="1"/>
  <c r="C76" i="15"/>
  <c r="K90" i="14"/>
  <c r="F8" i="15"/>
  <c r="F34" i="15" s="1"/>
  <c r="F11" i="15"/>
  <c r="F37" i="15" s="1"/>
  <c r="D25" i="15"/>
  <c r="D39" i="15"/>
  <c r="E69" i="14"/>
  <c r="O89" i="14"/>
  <c r="O91" i="14" s="1"/>
  <c r="J44" i="15"/>
  <c r="I52" i="15"/>
  <c r="C16" i="15"/>
  <c r="C55" i="15"/>
  <c r="G19" i="15"/>
  <c r="D37" i="15"/>
  <c r="D23" i="15"/>
  <c r="E23" i="15"/>
  <c r="K67" i="14"/>
  <c r="K69" i="14" s="1"/>
  <c r="I47" i="15"/>
  <c r="I65" i="15" s="1"/>
  <c r="M67" i="14"/>
  <c r="M69" i="14" s="1"/>
  <c r="C69" i="14"/>
  <c r="O67" i="14"/>
  <c r="O68" i="14" s="1"/>
  <c r="I48" i="15"/>
  <c r="I66" i="15" s="1"/>
  <c r="R91" i="14"/>
  <c r="I68" i="14"/>
  <c r="J45" i="15"/>
  <c r="J63" i="15" s="1"/>
  <c r="G4" i="15"/>
  <c r="G30" i="15" s="1"/>
  <c r="B73" i="15" s="1"/>
  <c r="C68" i="14"/>
  <c r="G69" i="14"/>
  <c r="G68" i="14"/>
  <c r="E91" i="14"/>
  <c r="E90" i="14"/>
  <c r="G91" i="14"/>
  <c r="G90" i="14"/>
  <c r="H17" i="7"/>
  <c r="H14" i="7"/>
  <c r="G5" i="15" l="1"/>
  <c r="G31" i="15" s="1"/>
  <c r="D31" i="15"/>
  <c r="D17" i="15"/>
  <c r="E31" i="15"/>
  <c r="E17" i="15"/>
  <c r="F31" i="15"/>
  <c r="F17" i="15"/>
  <c r="E8" i="15"/>
  <c r="C8" i="15"/>
  <c r="D8" i="15"/>
  <c r="I91" i="14"/>
  <c r="G22" i="15"/>
  <c r="G21" i="15"/>
  <c r="J52" i="15"/>
  <c r="J62" i="15"/>
  <c r="G8" i="15"/>
  <c r="G34" i="15" s="1"/>
  <c r="M91" i="14"/>
  <c r="F23" i="15"/>
  <c r="F20" i="15"/>
  <c r="O90" i="14"/>
  <c r="O69" i="14"/>
  <c r="I56" i="15"/>
  <c r="I55" i="15"/>
  <c r="G16" i="15"/>
  <c r="G17" i="15"/>
  <c r="J48" i="15"/>
  <c r="J66" i="15" s="1"/>
  <c r="J47" i="15"/>
  <c r="J65" i="15" s="1"/>
  <c r="I49" i="15"/>
  <c r="I67" i="15" s="1"/>
  <c r="M68" i="14"/>
  <c r="K68" i="14"/>
  <c r="D20" i="15" l="1"/>
  <c r="D34" i="15"/>
  <c r="C20" i="15"/>
  <c r="C34" i="15"/>
  <c r="E34" i="15"/>
  <c r="E20" i="15"/>
  <c r="G20" i="15"/>
  <c r="C75" i="15"/>
  <c r="C73" i="15"/>
  <c r="D73" i="15" s="1"/>
  <c r="B74" i="15"/>
  <c r="D76" i="15" s="1"/>
  <c r="B77" i="15"/>
  <c r="J55" i="15"/>
  <c r="I57" i="15"/>
  <c r="J56" i="15"/>
  <c r="J49" i="15"/>
  <c r="J67" i="15" s="1"/>
  <c r="G30" i="1"/>
  <c r="E30" i="1"/>
  <c r="D30" i="1"/>
  <c r="F27" i="1"/>
  <c r="E27" i="1"/>
  <c r="D27" i="1"/>
  <c r="C285" i="1"/>
  <c r="B61" i="8"/>
  <c r="C78" i="15" l="1"/>
  <c r="D78" i="15" s="1"/>
  <c r="D75" i="15"/>
  <c r="C79" i="15"/>
  <c r="D79" i="15" s="1"/>
  <c r="J57" i="15"/>
  <c r="B22" i="8"/>
  <c r="C81" i="15" l="1"/>
  <c r="E49" i="8"/>
  <c r="D49" i="8"/>
  <c r="C49" i="8" s="1"/>
  <c r="G48" i="8"/>
  <c r="F48" i="8"/>
  <c r="E48" i="8"/>
  <c r="D48" i="8"/>
  <c r="C48" i="8"/>
  <c r="F47" i="8"/>
  <c r="G49" i="8" s="1"/>
  <c r="E47" i="8"/>
  <c r="D47" i="8"/>
  <c r="C47" i="8"/>
  <c r="B47" i="8"/>
  <c r="I46" i="8"/>
  <c r="H46" i="8"/>
  <c r="G46" i="8"/>
  <c r="E46" i="8"/>
  <c r="D46" i="8"/>
  <c r="C46" i="8"/>
  <c r="B46" i="8"/>
  <c r="I45" i="8"/>
  <c r="G45" i="8"/>
  <c r="F45" i="8"/>
  <c r="D45" i="8"/>
  <c r="C45" i="8"/>
  <c r="B45" i="8"/>
  <c r="I44" i="8"/>
  <c r="H44" i="8"/>
  <c r="G44" i="8"/>
  <c r="F44" i="8"/>
  <c r="E44" i="8"/>
  <c r="C44" i="8"/>
  <c r="B44" i="8"/>
  <c r="G43" i="8"/>
  <c r="F43" i="8"/>
  <c r="E43" i="8"/>
  <c r="D43" i="8"/>
  <c r="B43" i="8"/>
  <c r="H42" i="8"/>
  <c r="B48" i="8" s="1"/>
  <c r="E39" i="8"/>
  <c r="D39" i="8"/>
  <c r="C39" i="8"/>
  <c r="B39" i="8"/>
  <c r="F38" i="8"/>
  <c r="D38" i="8"/>
  <c r="C38" i="8"/>
  <c r="B38" i="8"/>
  <c r="F37" i="8"/>
  <c r="E37" i="8"/>
  <c r="C37" i="8"/>
  <c r="B37" i="8"/>
  <c r="F36" i="8"/>
  <c r="E36" i="8"/>
  <c r="D36" i="8"/>
  <c r="B36" i="8"/>
  <c r="D31" i="8"/>
  <c r="C31" i="8"/>
  <c r="E30" i="8"/>
  <c r="C30" i="8"/>
  <c r="B30" i="8"/>
  <c r="E29" i="8"/>
  <c r="D29" i="8"/>
  <c r="B29" i="8"/>
  <c r="F28" i="8"/>
  <c r="F30" i="8" s="1"/>
  <c r="B23" i="8"/>
  <c r="B21" i="8"/>
  <c r="B20" i="8"/>
  <c r="B16" i="8" a="1"/>
  <c r="B16" i="8" s="1"/>
  <c r="B15" i="8" a="1"/>
  <c r="B15" i="8"/>
  <c r="B14" i="8" a="1"/>
  <c r="B14" i="8"/>
  <c r="B13" i="8" a="1"/>
  <c r="B13" i="8"/>
  <c r="B12" i="8" a="1"/>
  <c r="B12" i="8" s="1"/>
  <c r="B7" i="8" a="1"/>
  <c r="B7" i="8" s="1"/>
  <c r="B6" i="8" a="1"/>
  <c r="B6" i="8" s="1"/>
  <c r="B5" i="8" a="1"/>
  <c r="B5" i="8" s="1"/>
  <c r="D207" i="1"/>
  <c r="D206" i="1"/>
  <c r="D205" i="1"/>
  <c r="D204" i="1"/>
  <c r="D203" i="1"/>
  <c r="D202" i="1"/>
  <c r="D177" i="1"/>
  <c r="D176" i="1"/>
  <c r="D175" i="1"/>
  <c r="D174" i="1"/>
  <c r="D173" i="1"/>
  <c r="C117" i="1"/>
  <c r="F114" i="1"/>
  <c r="E111" i="1"/>
  <c r="E102" i="1"/>
  <c r="E103" i="1"/>
  <c r="E104" i="1"/>
  <c r="E105" i="1"/>
  <c r="E106" i="1"/>
  <c r="E107" i="1"/>
  <c r="E108" i="1"/>
  <c r="E109" i="1"/>
  <c r="E110" i="1"/>
  <c r="E101" i="1"/>
  <c r="E8" i="7" l="1"/>
  <c r="J50" i="7"/>
  <c r="J66" i="7" s="1"/>
  <c r="C52" i="7"/>
  <c r="H49" i="8"/>
  <c r="I48" i="8" s="1"/>
  <c r="I47" i="8"/>
  <c r="B49" i="8"/>
  <c r="I42" i="8" s="1"/>
  <c r="I43" i="8"/>
  <c r="F31" i="8"/>
  <c r="B32" i="8"/>
  <c r="C32" i="8"/>
  <c r="D32" i="8"/>
  <c r="F29" i="8"/>
  <c r="E32" i="8"/>
  <c r="H45" i="8"/>
  <c r="H47" i="8"/>
  <c r="H11" i="1"/>
  <c r="C87" i="1"/>
  <c r="H6" i="1"/>
  <c r="C58" i="7" l="1"/>
  <c r="E16" i="7"/>
  <c r="E20" i="7"/>
  <c r="E13" i="7"/>
  <c r="E17" i="7"/>
  <c r="E14" i="7"/>
  <c r="E26" i="7" l="1"/>
  <c r="E25" i="7"/>
  <c r="E28" i="7"/>
  <c r="E15" i="7"/>
  <c r="E29" i="7"/>
  <c r="E12" i="7"/>
  <c r="B3" i="5"/>
  <c r="E24" i="7" l="1"/>
  <c r="E27" i="7"/>
  <c r="D334" i="1"/>
  <c r="D332" i="1"/>
  <c r="D330" i="1"/>
  <c r="H28" i="4"/>
  <c r="H29" i="4"/>
  <c r="H30" i="4"/>
  <c r="H31" i="4"/>
  <c r="H32" i="4"/>
  <c r="H33" i="4"/>
  <c r="H34" i="4"/>
  <c r="H35" i="4"/>
  <c r="H36" i="4"/>
  <c r="H37" i="4"/>
  <c r="H38" i="4"/>
  <c r="H27" i="4"/>
  <c r="G78" i="1" l="1"/>
  <c r="R84" i="1"/>
  <c r="C81" i="1" l="1"/>
  <c r="C76" i="1"/>
  <c r="R79" i="1"/>
  <c r="R78" i="1"/>
  <c r="R76" i="1"/>
  <c r="R85" i="1"/>
  <c r="R83" i="1"/>
  <c r="R82" i="1"/>
  <c r="R81" i="1"/>
  <c r="R80" i="1"/>
  <c r="R77" i="1"/>
  <c r="R75" i="1"/>
  <c r="M77" i="1" l="1"/>
  <c r="M85" i="1"/>
  <c r="C257" i="1"/>
  <c r="K80" i="1"/>
  <c r="I77" i="1"/>
  <c r="G82" i="1"/>
  <c r="E79" i="1"/>
  <c r="K58" i="1"/>
  <c r="K60" i="1" l="1"/>
  <c r="K61" i="1"/>
  <c r="O54" i="1"/>
  <c r="O62" i="1"/>
  <c r="O55" i="1"/>
  <c r="O63" i="1"/>
  <c r="M60" i="1"/>
  <c r="M61" i="1"/>
  <c r="O56" i="1"/>
  <c r="O53" i="1"/>
  <c r="O57" i="1"/>
  <c r="M54" i="1"/>
  <c r="M62" i="1"/>
  <c r="O59" i="1"/>
  <c r="M56" i="1"/>
  <c r="M53" i="1"/>
  <c r="M59" i="1"/>
  <c r="O58" i="1"/>
  <c r="M55" i="1"/>
  <c r="M63" i="1"/>
  <c r="O60" i="1"/>
  <c r="M57" i="1"/>
  <c r="O61" i="1"/>
  <c r="M58" i="1"/>
  <c r="O78" i="1"/>
  <c r="O79" i="1"/>
  <c r="O85" i="1"/>
  <c r="O80" i="1"/>
  <c r="O82" i="1"/>
  <c r="O81" i="1"/>
  <c r="O83" i="1"/>
  <c r="O75" i="1"/>
  <c r="O76" i="1"/>
  <c r="O84" i="1"/>
  <c r="O77" i="1"/>
  <c r="M84" i="1"/>
  <c r="M76" i="1"/>
  <c r="K59" i="1"/>
  <c r="M82" i="1"/>
  <c r="K57" i="1"/>
  <c r="M83" i="1"/>
  <c r="M81" i="1"/>
  <c r="K53" i="1"/>
  <c r="K56" i="1"/>
  <c r="M80" i="1"/>
  <c r="K63" i="1"/>
  <c r="K55" i="1"/>
  <c r="M79" i="1"/>
  <c r="K62" i="1"/>
  <c r="K54" i="1"/>
  <c r="M75" i="1"/>
  <c r="M78" i="1"/>
  <c r="I83" i="1"/>
  <c r="K75" i="1"/>
  <c r="E85" i="1"/>
  <c r="C80" i="1"/>
  <c r="E78" i="1"/>
  <c r="E77" i="1"/>
  <c r="K78" i="1"/>
  <c r="G81" i="1"/>
  <c r="K79" i="1"/>
  <c r="G80" i="1"/>
  <c r="I84" i="1"/>
  <c r="E75" i="1"/>
  <c r="I76" i="1"/>
  <c r="E84" i="1"/>
  <c r="E76" i="1"/>
  <c r="G79" i="1"/>
  <c r="I82" i="1"/>
  <c r="K85" i="1"/>
  <c r="K77" i="1"/>
  <c r="E83" i="1"/>
  <c r="G75" i="1"/>
  <c r="I81" i="1"/>
  <c r="K84" i="1"/>
  <c r="K76" i="1"/>
  <c r="E82" i="1"/>
  <c r="G85" i="1"/>
  <c r="G77" i="1"/>
  <c r="I80" i="1"/>
  <c r="K83" i="1"/>
  <c r="E81" i="1"/>
  <c r="G84" i="1"/>
  <c r="G76" i="1"/>
  <c r="I79" i="1"/>
  <c r="K82" i="1"/>
  <c r="E80" i="1"/>
  <c r="G83" i="1"/>
  <c r="I75" i="1"/>
  <c r="I78" i="1"/>
  <c r="K81" i="1"/>
  <c r="C85" i="1"/>
  <c r="I85" i="1"/>
  <c r="C77" i="1"/>
  <c r="C79" i="1"/>
  <c r="C75" i="1"/>
  <c r="C78" i="1"/>
  <c r="C84" i="1"/>
  <c r="C83" i="1"/>
  <c r="C82" i="1"/>
  <c r="S82" i="1" l="1"/>
  <c r="D55" i="1"/>
  <c r="S83" i="1"/>
  <c r="S85" i="1"/>
  <c r="S86" i="1" s="1"/>
  <c r="S75" i="1"/>
  <c r="J79" i="1"/>
  <c r="H75" i="1"/>
  <c r="S84" i="1"/>
  <c r="S77" i="1"/>
  <c r="S79" i="1"/>
  <c r="S80" i="1"/>
  <c r="S81" i="1"/>
  <c r="S76" i="1"/>
  <c r="S78" i="1"/>
  <c r="L84" i="1"/>
  <c r="J75" i="1"/>
  <c r="F77" i="1"/>
  <c r="D77" i="1"/>
  <c r="J53" i="1"/>
  <c r="F54" i="1"/>
  <c r="F78" i="1"/>
  <c r="D78" i="1"/>
  <c r="H54" i="1"/>
  <c r="H77" i="1"/>
  <c r="D79" i="1"/>
  <c r="F56" i="1"/>
  <c r="J76" i="1"/>
  <c r="F80" i="1"/>
  <c r="J55" i="1"/>
  <c r="H56" i="1"/>
  <c r="J77" i="1"/>
  <c r="D81" i="1"/>
  <c r="F58" i="1"/>
  <c r="H80" i="1"/>
  <c r="F82" i="1"/>
  <c r="H58" i="1"/>
  <c r="L78" i="1"/>
  <c r="F83" i="1"/>
  <c r="H59" i="1"/>
  <c r="J81" i="1"/>
  <c r="F84" i="1"/>
  <c r="H60" i="1"/>
  <c r="L82" i="1"/>
  <c r="L83" i="1"/>
  <c r="L85" i="1"/>
  <c r="H76" i="1"/>
  <c r="F55" i="1"/>
  <c r="F79" i="1"/>
  <c r="H55" i="1"/>
  <c r="F57" i="1"/>
  <c r="H79" i="1"/>
  <c r="J56" i="1"/>
  <c r="L77" i="1"/>
  <c r="D82" i="1"/>
  <c r="H81" i="1"/>
  <c r="J58" i="1"/>
  <c r="F60" i="1"/>
  <c r="H82" i="1"/>
  <c r="J59" i="1"/>
  <c r="F61" i="1"/>
  <c r="J84" i="1"/>
  <c r="J62" i="1"/>
  <c r="F76" i="1"/>
  <c r="H53" i="1"/>
  <c r="L75" i="1"/>
  <c r="J54" i="1"/>
  <c r="H78" i="1"/>
  <c r="D80" i="1"/>
  <c r="L76" i="1"/>
  <c r="F81" i="1"/>
  <c r="H57" i="1"/>
  <c r="J78" i="1"/>
  <c r="J57" i="1"/>
  <c r="F59" i="1"/>
  <c r="J80" i="1"/>
  <c r="D83" i="1"/>
  <c r="L79" i="1"/>
  <c r="D84" i="1"/>
  <c r="F63" i="1"/>
  <c r="D85" i="1"/>
  <c r="F53" i="1"/>
  <c r="J85" i="1"/>
  <c r="J63" i="1"/>
  <c r="L80" i="1"/>
  <c r="J82" i="1"/>
  <c r="H83" i="1"/>
  <c r="F85" i="1"/>
  <c r="D75" i="1"/>
  <c r="J60" i="1"/>
  <c r="H61" i="1"/>
  <c r="F62" i="1"/>
  <c r="L81" i="1"/>
  <c r="J83" i="1"/>
  <c r="H84" i="1"/>
  <c r="F75" i="1"/>
  <c r="J61" i="1"/>
  <c r="H62" i="1"/>
  <c r="H85" i="1"/>
  <c r="H63" i="1"/>
  <c r="D76" i="1"/>
  <c r="D61" i="1"/>
  <c r="N61" i="1" s="1"/>
  <c r="D58" i="1"/>
  <c r="D59" i="1"/>
  <c r="D57" i="1"/>
  <c r="D56" i="1"/>
  <c r="D63" i="1"/>
  <c r="D60" i="1"/>
  <c r="D54" i="1"/>
  <c r="D62" i="1"/>
  <c r="L62" i="1" s="1"/>
  <c r="D53" i="1"/>
  <c r="D112" i="1"/>
  <c r="D113" i="1" s="1"/>
  <c r="C206" i="1"/>
  <c r="C174" i="1"/>
  <c r="C228" i="1"/>
  <c r="C229" i="1" s="1"/>
  <c r="L146" i="1"/>
  <c r="C147" i="1" s="1"/>
  <c r="C207" i="1"/>
  <c r="C173" i="1"/>
  <c r="C205" i="1"/>
  <c r="C204" i="1"/>
  <c r="C202" i="1"/>
  <c r="C172" i="1"/>
  <c r="F228" i="1"/>
  <c r="F229" i="1" s="1"/>
  <c r="C175" i="1"/>
  <c r="C177" i="1"/>
  <c r="E228" i="1"/>
  <c r="E229" i="1" s="1"/>
  <c r="C176" i="1"/>
  <c r="D228" i="1"/>
  <c r="D229" i="1" s="1"/>
  <c r="C203" i="1"/>
  <c r="C167" i="1"/>
  <c r="C168" i="1" s="1"/>
  <c r="H322" i="1"/>
  <c r="I322" i="1"/>
  <c r="J322" i="1"/>
  <c r="K322" i="1"/>
  <c r="D322" i="1"/>
  <c r="E322" i="1"/>
  <c r="F322" i="1"/>
  <c r="G322" i="1"/>
  <c r="C322" i="1"/>
  <c r="C298" i="1"/>
  <c r="P86" i="1"/>
  <c r="P87" i="1" s="1"/>
  <c r="R86" i="1"/>
  <c r="R87" i="1" s="1"/>
  <c r="N64" i="1"/>
  <c r="P64" i="1"/>
  <c r="N86" i="1"/>
  <c r="L64" i="1"/>
  <c r="M86" i="1"/>
  <c r="M87" i="1" s="1"/>
  <c r="O86" i="1"/>
  <c r="O87" i="1" s="1"/>
  <c r="K86" i="1"/>
  <c r="K64" i="1"/>
  <c r="K65" i="1" s="1"/>
  <c r="C59" i="1"/>
  <c r="E56" i="1"/>
  <c r="G59" i="1"/>
  <c r="I54" i="1"/>
  <c r="G58" i="1"/>
  <c r="E54" i="1"/>
  <c r="E53" i="1"/>
  <c r="G57" i="1"/>
  <c r="I61" i="1"/>
  <c r="I60" i="1"/>
  <c r="G53" i="1"/>
  <c r="G56" i="1"/>
  <c r="I59" i="1"/>
  <c r="G63" i="1"/>
  <c r="G55" i="1"/>
  <c r="I58" i="1"/>
  <c r="C56" i="1"/>
  <c r="G62" i="1"/>
  <c r="G54" i="1"/>
  <c r="I57" i="1"/>
  <c r="E63" i="1"/>
  <c r="G61" i="1"/>
  <c r="I53" i="1"/>
  <c r="I56" i="1"/>
  <c r="E62" i="1"/>
  <c r="G60" i="1"/>
  <c r="I63" i="1"/>
  <c r="I55" i="1"/>
  <c r="E55" i="1"/>
  <c r="I62" i="1"/>
  <c r="E61" i="1"/>
  <c r="C63" i="1"/>
  <c r="E60" i="1"/>
  <c r="E59" i="1"/>
  <c r="C62" i="1"/>
  <c r="C58" i="1"/>
  <c r="E58" i="1"/>
  <c r="E57" i="1"/>
  <c r="C61" i="1"/>
  <c r="C57" i="1"/>
  <c r="H64" i="1" l="1"/>
  <c r="H65" i="1" s="1"/>
  <c r="H86" i="1"/>
  <c r="H87" i="1" s="1"/>
  <c r="S87" i="1"/>
  <c r="G323" i="1"/>
  <c r="G324" i="1" s="1"/>
  <c r="I323" i="1"/>
  <c r="I324" i="1" s="1"/>
  <c r="H323" i="1"/>
  <c r="H324" i="1" s="1"/>
  <c r="C299" i="1"/>
  <c r="C286" i="1" s="1"/>
  <c r="C301" i="1" s="1"/>
  <c r="C323" i="1"/>
  <c r="C324" i="1" s="1"/>
  <c r="F330" i="1" s="1"/>
  <c r="K87" i="1"/>
  <c r="F323" i="1"/>
  <c r="F324" i="1" s="1"/>
  <c r="E323" i="1"/>
  <c r="E324" i="1" s="1"/>
  <c r="D323" i="1"/>
  <c r="D324" i="1" s="1"/>
  <c r="N87" i="1"/>
  <c r="K323" i="1"/>
  <c r="K324" i="1" s="1"/>
  <c r="J323" i="1"/>
  <c r="J324" i="1" s="1"/>
  <c r="E53" i="7"/>
  <c r="H53" i="7"/>
  <c r="H69" i="7" s="1"/>
  <c r="F53" i="7"/>
  <c r="F69" i="7" s="1"/>
  <c r="D53" i="7"/>
  <c r="D69" i="7" s="1"/>
  <c r="D48" i="7"/>
  <c r="D64" i="7" s="1"/>
  <c r="E48" i="7"/>
  <c r="G53" i="7"/>
  <c r="G69" i="7" s="1"/>
  <c r="G48" i="7"/>
  <c r="G64" i="7" s="1"/>
  <c r="H48" i="7"/>
  <c r="F48" i="7"/>
  <c r="F64" i="7" s="1"/>
  <c r="D86" i="1"/>
  <c r="D87" i="1" s="1"/>
  <c r="D64" i="1"/>
  <c r="D65" i="1" s="1"/>
  <c r="C201" i="1"/>
  <c r="J64" i="1"/>
  <c r="J65" i="1" s="1"/>
  <c r="F64" i="1"/>
  <c r="F65" i="1" s="1"/>
  <c r="C231" i="1"/>
  <c r="C232" i="1" s="1"/>
  <c r="B8" i="5"/>
  <c r="C13" i="15" s="1"/>
  <c r="D23" i="4"/>
  <c r="H40" i="4"/>
  <c r="C49" i="7" s="1"/>
  <c r="C13" i="7"/>
  <c r="C12" i="15"/>
  <c r="N62" i="1"/>
  <c r="N65" i="1" s="1"/>
  <c r="E280" i="1"/>
  <c r="E281" i="1" s="1"/>
  <c r="C280" i="1"/>
  <c r="C281" i="1" s="1"/>
  <c r="C258" i="1"/>
  <c r="P61" i="1"/>
  <c r="P62" i="1"/>
  <c r="L61" i="1"/>
  <c r="L65" i="1" s="1"/>
  <c r="C146" i="1"/>
  <c r="C148" i="1" s="1"/>
  <c r="C86" i="1"/>
  <c r="E231" i="1"/>
  <c r="E232" i="1" s="1"/>
  <c r="O89" i="1"/>
  <c r="E112" i="1"/>
  <c r="C53" i="1"/>
  <c r="B31" i="7"/>
  <c r="C54" i="1"/>
  <c r="C60" i="1"/>
  <c r="C55" i="1"/>
  <c r="M64" i="1"/>
  <c r="M65" i="1" s="1"/>
  <c r="O64" i="1"/>
  <c r="O65" i="1" s="1"/>
  <c r="I86" i="1"/>
  <c r="G64" i="1"/>
  <c r="G65" i="1" s="1"/>
  <c r="G86" i="1"/>
  <c r="G87" i="1" s="1"/>
  <c r="E86" i="1"/>
  <c r="E87" i="1" s="1"/>
  <c r="I64" i="1"/>
  <c r="I65" i="1" s="1"/>
  <c r="E64" i="1"/>
  <c r="E65" i="1" s="1"/>
  <c r="K67" i="1" l="1"/>
  <c r="F8" i="7"/>
  <c r="F14" i="7" s="1"/>
  <c r="M89" i="1"/>
  <c r="C25" i="7"/>
  <c r="C38" i="7"/>
  <c r="E36" i="7"/>
  <c r="E35" i="7"/>
  <c r="C35" i="7"/>
  <c r="D35" i="7"/>
  <c r="F35" i="7"/>
  <c r="F36" i="7"/>
  <c r="E34" i="7"/>
  <c r="F34" i="7"/>
  <c r="G35" i="7"/>
  <c r="D36" i="7"/>
  <c r="D34" i="7"/>
  <c r="E33" i="7"/>
  <c r="E41" i="7"/>
  <c r="E39" i="7"/>
  <c r="E42" i="7"/>
  <c r="E38" i="7"/>
  <c r="E37" i="7"/>
  <c r="E40" i="7"/>
  <c r="H64" i="7"/>
  <c r="H56" i="7"/>
  <c r="E56" i="7"/>
  <c r="E64" i="7"/>
  <c r="D56" i="7"/>
  <c r="C24" i="15"/>
  <c r="C38" i="15"/>
  <c r="C25" i="15"/>
  <c r="C39" i="15"/>
  <c r="F59" i="7"/>
  <c r="E59" i="7"/>
  <c r="F52" i="7"/>
  <c r="F68" i="7" s="1"/>
  <c r="F56" i="7"/>
  <c r="D59" i="7"/>
  <c r="H59" i="7"/>
  <c r="G52" i="7"/>
  <c r="G68" i="7" s="1"/>
  <c r="G56" i="7"/>
  <c r="H52" i="7"/>
  <c r="H68" i="7" s="1"/>
  <c r="G59" i="7"/>
  <c r="F332" i="1"/>
  <c r="D16" i="7" s="1"/>
  <c r="D52" i="7"/>
  <c r="I87" i="1"/>
  <c r="C64" i="1"/>
  <c r="C65" i="1" s="1"/>
  <c r="C67" i="1" s="1"/>
  <c r="E52" i="7"/>
  <c r="E51" i="7"/>
  <c r="C11" i="15"/>
  <c r="C37" i="15" s="1"/>
  <c r="G12" i="15"/>
  <c r="G13" i="15"/>
  <c r="G39" i="15" s="1"/>
  <c r="P65" i="1"/>
  <c r="G51" i="7"/>
  <c r="G67" i="7" s="1"/>
  <c r="C51" i="7"/>
  <c r="C17" i="7"/>
  <c r="C42" i="7" s="1"/>
  <c r="R89" i="1"/>
  <c r="R91" i="1" s="1"/>
  <c r="F51" i="7"/>
  <c r="F67" i="7" s="1"/>
  <c r="C16" i="7"/>
  <c r="C41" i="7" s="1"/>
  <c r="D51" i="7"/>
  <c r="D67" i="7" s="1"/>
  <c r="H51" i="7"/>
  <c r="H67" i="7" s="1"/>
  <c r="C53" i="7"/>
  <c r="G89" i="1"/>
  <c r="G90" i="1" s="1"/>
  <c r="C14" i="7"/>
  <c r="C39" i="7" s="1"/>
  <c r="C11" i="7"/>
  <c r="C36" i="7" s="1"/>
  <c r="C208" i="1"/>
  <c r="I67" i="1"/>
  <c r="I69" i="1" s="1"/>
  <c r="I48" i="7"/>
  <c r="I56" i="7" s="1"/>
  <c r="O90" i="1"/>
  <c r="O91" i="1"/>
  <c r="M91" i="1"/>
  <c r="M90" i="1"/>
  <c r="C116" i="1"/>
  <c r="E113" i="1"/>
  <c r="C115" i="1" s="1"/>
  <c r="H330" i="1"/>
  <c r="D17" i="7"/>
  <c r="D42" i="7" s="1"/>
  <c r="D14" i="7"/>
  <c r="D39" i="7" s="1"/>
  <c r="C48" i="7"/>
  <c r="C178" i="1"/>
  <c r="M67" i="1"/>
  <c r="F86" i="1"/>
  <c r="F87" i="1" s="1"/>
  <c r="F13" i="7" l="1"/>
  <c r="F38" i="7" s="1"/>
  <c r="F33" i="7"/>
  <c r="F16" i="7"/>
  <c r="G16" i="7" s="1"/>
  <c r="F20" i="7"/>
  <c r="F17" i="7"/>
  <c r="F29" i="7" s="1"/>
  <c r="D28" i="7"/>
  <c r="D41" i="7"/>
  <c r="F26" i="7"/>
  <c r="F39" i="7"/>
  <c r="I64" i="7"/>
  <c r="D58" i="7"/>
  <c r="D68" i="7"/>
  <c r="G24" i="15"/>
  <c r="G38" i="15"/>
  <c r="H332" i="1"/>
  <c r="D13" i="7"/>
  <c r="C56" i="7"/>
  <c r="E58" i="7"/>
  <c r="G58" i="7"/>
  <c r="E57" i="7"/>
  <c r="C57" i="7"/>
  <c r="C59" i="7"/>
  <c r="H57" i="7"/>
  <c r="G57" i="7"/>
  <c r="D57" i="7"/>
  <c r="F58" i="7"/>
  <c r="F57" i="7"/>
  <c r="H58" i="7"/>
  <c r="C28" i="7"/>
  <c r="D26" i="7"/>
  <c r="C12" i="7"/>
  <c r="C37" i="7" s="1"/>
  <c r="C26" i="7"/>
  <c r="C29" i="7"/>
  <c r="D29" i="7"/>
  <c r="C23" i="7"/>
  <c r="C23" i="15"/>
  <c r="G25" i="15"/>
  <c r="G11" i="15"/>
  <c r="G37" i="15" s="1"/>
  <c r="E89" i="1"/>
  <c r="G91" i="1"/>
  <c r="J49" i="7"/>
  <c r="J65" i="7" s="1"/>
  <c r="C15" i="7"/>
  <c r="C40" i="7" s="1"/>
  <c r="R90" i="1"/>
  <c r="D8" i="7"/>
  <c r="D33" i="7" s="1"/>
  <c r="C8" i="7"/>
  <c r="I68" i="1"/>
  <c r="I51" i="7"/>
  <c r="I52" i="7"/>
  <c r="G11" i="7"/>
  <c r="G36" i="7" s="1"/>
  <c r="C9" i="7"/>
  <c r="C34" i="7" s="1"/>
  <c r="O67" i="1"/>
  <c r="O69" i="1" s="1"/>
  <c r="D15" i="7"/>
  <c r="D40" i="7" s="1"/>
  <c r="J48" i="7"/>
  <c r="G14" i="7"/>
  <c r="G39" i="7" s="1"/>
  <c r="G17" i="7"/>
  <c r="G42" i="7" s="1"/>
  <c r="K69" i="1"/>
  <c r="K68" i="1"/>
  <c r="M68" i="1"/>
  <c r="M69" i="1"/>
  <c r="E67" i="1"/>
  <c r="G67" i="1"/>
  <c r="F42" i="7" l="1"/>
  <c r="F15" i="7"/>
  <c r="F40" i="7" s="1"/>
  <c r="F12" i="7"/>
  <c r="F24" i="7" s="1"/>
  <c r="F25" i="7"/>
  <c r="F28" i="7"/>
  <c r="C33" i="7"/>
  <c r="C20" i="7"/>
  <c r="F41" i="7"/>
  <c r="G28" i="7"/>
  <c r="G41" i="7"/>
  <c r="D25" i="7"/>
  <c r="D38" i="7"/>
  <c r="G13" i="7"/>
  <c r="G38" i="7" s="1"/>
  <c r="J56" i="7"/>
  <c r="J64" i="7"/>
  <c r="D12" i="7"/>
  <c r="D37" i="7" s="1"/>
  <c r="C21" i="7"/>
  <c r="J52" i="7"/>
  <c r="I58" i="7"/>
  <c r="J51" i="7"/>
  <c r="J67" i="7" s="1"/>
  <c r="C76" i="7" s="1"/>
  <c r="I57" i="7"/>
  <c r="G26" i="7"/>
  <c r="G23" i="7"/>
  <c r="C24" i="7"/>
  <c r="G29" i="7"/>
  <c r="F27" i="7"/>
  <c r="D20" i="7"/>
  <c r="D27" i="7"/>
  <c r="C27" i="7"/>
  <c r="G23" i="15"/>
  <c r="G8" i="7"/>
  <c r="G33" i="7" s="1"/>
  <c r="E90" i="1"/>
  <c r="E91" i="1"/>
  <c r="O68" i="1"/>
  <c r="I53" i="7"/>
  <c r="G9" i="7"/>
  <c r="G34" i="7" s="1"/>
  <c r="G15" i="7"/>
  <c r="G40" i="7" s="1"/>
  <c r="B78" i="7" s="1"/>
  <c r="C69" i="1"/>
  <c r="C68" i="1"/>
  <c r="G69" i="1"/>
  <c r="G68" i="1"/>
  <c r="L86" i="1" s="1"/>
  <c r="L87" i="1" s="1"/>
  <c r="E68" i="1"/>
  <c r="E69" i="1"/>
  <c r="C74" i="7" l="1"/>
  <c r="D74" i="7" s="1"/>
  <c r="F37" i="7"/>
  <c r="G12" i="7"/>
  <c r="G37" i="7" s="1"/>
  <c r="D24" i="7"/>
  <c r="G25" i="7"/>
  <c r="J58" i="7"/>
  <c r="J68" i="7"/>
  <c r="B80" i="15"/>
  <c r="D81" i="15" s="1"/>
  <c r="J57" i="7"/>
  <c r="J69" i="7"/>
  <c r="C79" i="7" s="1"/>
  <c r="D79" i="7" s="1"/>
  <c r="I59" i="7"/>
  <c r="G21" i="7"/>
  <c r="G27" i="7"/>
  <c r="G20" i="7"/>
  <c r="K89" i="1"/>
  <c r="J86" i="1"/>
  <c r="J87" i="1" s="1"/>
  <c r="C89" i="1"/>
  <c r="G24" i="7" l="1"/>
  <c r="C77" i="7"/>
  <c r="J59" i="7"/>
  <c r="I89" i="1"/>
  <c r="I91" i="1" s="1"/>
  <c r="K91" i="1"/>
  <c r="K90" i="1"/>
  <c r="C91" i="1"/>
  <c r="C90" i="1"/>
  <c r="D77" i="7" l="1"/>
  <c r="D76" i="7"/>
  <c r="I9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A68EB2-6B7E-4C42-A275-495DDCEBD66B}"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49A88CA-4FBA-4F6A-A37E-A4269B7250DA}" name="WorksheetConnection_Adjustable_HeatRate_CI!$A:$E" type="102" refreshedVersion="8" minRefreshableVersion="5">
    <extLst>
      <ext xmlns:x15="http://schemas.microsoft.com/office/spreadsheetml/2010/11/main" uri="{DE250136-89BD-433C-8126-D09CA5730AF9}">
        <x15:connection id="Range 4" autoDelete="1">
          <x15:rangePr sourceName="_xlcn.WorksheetConnection_Adjustable_HeatRate_CIAE"/>
        </x15:connection>
      </ext>
    </extLst>
  </connection>
  <connection id="3" xr16:uid="{3497BDE6-7A40-44CF-BEBE-2D0A29014372}" name="WorksheetConnection_Adjustable_HeatRate_CI!$A:$G" type="102" refreshedVersion="8" minRefreshableVersion="5">
    <extLst>
      <ext xmlns:x15="http://schemas.microsoft.com/office/spreadsheetml/2010/11/main" uri="{DE250136-89BD-433C-8126-D09CA5730AF9}">
        <x15:connection id="Range" autoDelete="1">
          <x15:rangePr sourceName="_xlcn.WorksheetConnection_Adjustable_HeatRate_CIAG"/>
        </x15:connection>
      </ext>
    </extLst>
  </connection>
  <connection id="4" xr16:uid="{B9697551-F39B-49D3-B065-416EF351346B}" name="WorksheetConnection_LNG Analysis - FUEL!$A:$F" type="102" refreshedVersion="8" minRefreshableVersion="5">
    <extLst>
      <ext xmlns:x15="http://schemas.microsoft.com/office/spreadsheetml/2010/11/main" uri="{DE250136-89BD-433C-8126-D09CA5730AF9}">
        <x15:connection id="Range 1-9ad464de-5e05-4614-8928-8dec9344b226" autoDelete="1">
          <x15:rangePr sourceName="_xlcn.WorksheetConnection_LNGAnalysisFUELAF"/>
        </x15:connection>
      </ext>
    </extLst>
  </connection>
  <connection id="5" xr16:uid="{301B5462-F386-4A22-A9B5-E322EC791842}" name="WorksheetConnection_Tidy_LNG-Oil CI Fuel Input!$A$1:$F$165" type="102" refreshedVersion="8" minRefreshableVersion="5">
    <extLst>
      <ext xmlns:x15="http://schemas.microsoft.com/office/spreadsheetml/2010/11/main" uri="{DE250136-89BD-433C-8126-D09CA5730AF9}">
        <x15:connection id="Range 2" autoDelete="1">
          <x15:rangePr sourceName="_xlcn.WorksheetConnection_Tidy_LNGOilCIFuelInputA1F165"/>
        </x15:connection>
      </ext>
    </extLst>
  </connection>
  <connection id="6" xr16:uid="{BFE05DA9-7ABF-4A02-A724-6630A1573407}" name="WorksheetConnection_Tidy_LNG-Oil CI Fuel Input!$A:$F" type="102" refreshedVersion="8" minRefreshableVersion="5">
    <extLst>
      <ext xmlns:x15="http://schemas.microsoft.com/office/spreadsheetml/2010/11/main" uri="{DE250136-89BD-433C-8126-D09CA5730AF9}">
        <x15:connection id="Range 3" autoDelete="1">
          <x15:rangePr sourceName="_xlcn.WorksheetConnection_Tidy_LNGOilCIFuelInputAF"/>
        </x15:connection>
      </ext>
    </extLst>
  </connection>
</connections>
</file>

<file path=xl/sharedStrings.xml><?xml version="1.0" encoding="utf-8"?>
<sst xmlns="http://schemas.openxmlformats.org/spreadsheetml/2006/main" count="2548" uniqueCount="532">
  <si>
    <t>Tab Descriptions</t>
  </si>
  <si>
    <t>Results Tabs</t>
  </si>
  <si>
    <t>Descriptions</t>
  </si>
  <si>
    <t>Oil_LNG_Breakdown_100-yr</t>
  </si>
  <si>
    <t>Emissions breakdown for oil in thermal applications and LNG in combined cycle using ANL GREET, RMI/OCI+ and NOIA assuming GWP of 100 years</t>
  </si>
  <si>
    <t>Oil_LNG_Breakdown_20-yr</t>
  </si>
  <si>
    <t>Emissions breakdown for oil in thermal applications and LNG in combined cycle using ANL GREET, RMI/OCI+ and NOIA assuming GWP of 20 years</t>
  </si>
  <si>
    <t>Supporting Data Tabs</t>
  </si>
  <si>
    <t>RMI_OCI+_100-yr</t>
  </si>
  <si>
    <t>Emissions factors from RMI/OCI+ assuming GWP of 100 years</t>
  </si>
  <si>
    <t>RMI_OCI+_20-yr</t>
  </si>
  <si>
    <t>Emissions factors from RMI/OCI+ assuming GWP of 20 years</t>
  </si>
  <si>
    <t>NOIA</t>
  </si>
  <si>
    <t>Emissions factors from NOIA</t>
  </si>
  <si>
    <t>HSEO_Crude Import</t>
  </si>
  <si>
    <t>Source for Hawaii's foreign petroleum imports</t>
  </si>
  <si>
    <t>Fuel_Specs</t>
  </si>
  <si>
    <t xml:space="preserve">Fuel properties and unit conversions </t>
  </si>
  <si>
    <t>GREET 2023_20-yr</t>
  </si>
  <si>
    <t>GREET 2023_100-yr</t>
  </si>
  <si>
    <t xml:space="preserve">Methodology </t>
  </si>
  <si>
    <t>GWP (100-yr)</t>
  </si>
  <si>
    <t>ANL GREET</t>
  </si>
  <si>
    <t>RMI/OCI+</t>
  </si>
  <si>
    <t>NOIA or EPA Report + Customized GREET</t>
  </si>
  <si>
    <t>Oil - Thermal</t>
  </si>
  <si>
    <t>Sources</t>
  </si>
  <si>
    <t>Unit</t>
  </si>
  <si>
    <t>Upstream - Crude Production</t>
  </si>
  <si>
    <t>Transport - Crude</t>
  </si>
  <si>
    <t>Refinery - Residual Oil</t>
  </si>
  <si>
    <t>Fuel - Combustion</t>
  </si>
  <si>
    <t>Total CI</t>
  </si>
  <si>
    <t>Fraction</t>
  </si>
  <si>
    <t>ANL GREET Default</t>
  </si>
  <si>
    <t>g/mmBtu fuel</t>
  </si>
  <si>
    <t>LBY</t>
  </si>
  <si>
    <t>ARG</t>
  </si>
  <si>
    <t>NOIA Report and GREET Hybrid</t>
  </si>
  <si>
    <t>Fuel</t>
  </si>
  <si>
    <t>GWP</t>
  </si>
  <si>
    <t>Note</t>
  </si>
  <si>
    <t>kg/mmBtu fuel combusted</t>
  </si>
  <si>
    <t>Crude</t>
  </si>
  <si>
    <t>GREET default, with HICC as grid mix</t>
  </si>
  <si>
    <t>RMI/OCI+ (all countries)</t>
  </si>
  <si>
    <t>RMI/OCI+ LBY</t>
  </si>
  <si>
    <t>RMI/OCI+ ARG</t>
  </si>
  <si>
    <t>RMI/OCI+ and GREET Hybrid</t>
  </si>
  <si>
    <t xml:space="preserve">Upstream emissions of crude production from RMI/OCI+; Crude transport emission is re-evaluated based on ocean tanker distance and emission factors from GREET; Refinery and fuel combustion emissions are assumed to be the same as GREET default </t>
  </si>
  <si>
    <t>RMI/OCI+ and GREET Hybrid LBY</t>
  </si>
  <si>
    <t>RMI/OCI+ and GREET Hybrid ARG</t>
  </si>
  <si>
    <t>Upstream emissions of crude production is from NOIA report; other assumptions are the same as the scenario of RMI/OCI+</t>
  </si>
  <si>
    <t>NOIA Report and GREET Hybrid LBY</t>
  </si>
  <si>
    <t>NOIA Report and GREET Hybrid ARG</t>
  </si>
  <si>
    <t>Oil - Thermal (Btu fuel/mmBtu elec)</t>
  </si>
  <si>
    <t>ANL GREET Default (HICC)</t>
  </si>
  <si>
    <t>kg/mmBtu elec</t>
  </si>
  <si>
    <t>kg</t>
  </si>
  <si>
    <t>LNG -CC</t>
  </si>
  <si>
    <t>Upstream+ Midestream - NG Production</t>
  </si>
  <si>
    <t>Liquefaction</t>
  </si>
  <si>
    <t>LNG T&amp;D</t>
  </si>
  <si>
    <t>LNG Storage</t>
  </si>
  <si>
    <t>LNG Regasification</t>
  </si>
  <si>
    <t>Gasified  NG T&amp;D to Power Plant</t>
  </si>
  <si>
    <t>GREET default, with HICC as grid mix, and 100% imported LNG</t>
  </si>
  <si>
    <t>RMI/OCI+ (AUS)</t>
  </si>
  <si>
    <t>NA</t>
  </si>
  <si>
    <t>RMI/OCI+ from AUS</t>
  </si>
  <si>
    <t>RMI/OCI+ (CAN - Montney BC)</t>
  </si>
  <si>
    <t>RMI/OCI+ from CAN - Montney BC</t>
  </si>
  <si>
    <t>RMI/OCI+ (AUS) and GREET Hybrid</t>
  </si>
  <si>
    <t>Upstream and midstream emissions of NG production from RMI/OCI+; emissions from liquefaction, LNG T&amp;D (5000 miles ocean tanker from AUS) and storage, LNG regasification and gasified NG T&amp;D are assumed to be the same as GREET default; LNT T&amp;D from Montney BC was prorated based on ocean tanker distance</t>
  </si>
  <si>
    <t>RMI/OCI+ (CAN - Montney BC) and GREET Hybrid</t>
  </si>
  <si>
    <t>EPA Report and Customized GREET</t>
  </si>
  <si>
    <t>Convert CH4 leakage fraction to GREET model input, and re-run the model with HICC grid mix</t>
  </si>
  <si>
    <t>kg/mmBtu fuel</t>
  </si>
  <si>
    <t>NG - CC (Btu fuel/mmBtu elec)</t>
  </si>
  <si>
    <t>Summary</t>
  </si>
  <si>
    <t>Source - lb CO2e/mmBtu elec</t>
  </si>
  <si>
    <t>LNG - CC</t>
  </si>
  <si>
    <t xml:space="preserve">Diff. </t>
  </si>
  <si>
    <t>RMI/OCI+ (LBY/ARG) and GREET Hybrid</t>
  </si>
  <si>
    <t>GWP (20-yr)</t>
  </si>
  <si>
    <t>Fuel Type</t>
  </si>
  <si>
    <t>RMI/OCI+ from AUS, no estimate of liquefaction should be excluded from summary</t>
  </si>
  <si>
    <t>RMI/OCI+ from CAN - Montney BC,  no estimate of liquefaction should be excluded from summary</t>
  </si>
  <si>
    <t>kg/mmbtu fuel combusted</t>
  </si>
  <si>
    <t>Supply Chain Point</t>
  </si>
  <si>
    <t>Upstream+ Midstream - NG Production</t>
  </si>
  <si>
    <t>TOTAL</t>
  </si>
  <si>
    <t>Column Labels</t>
  </si>
  <si>
    <t>Row Labels</t>
  </si>
  <si>
    <t>Grand Total</t>
  </si>
  <si>
    <t>Feedstock</t>
  </si>
  <si>
    <t>Total</t>
  </si>
  <si>
    <t>GWP = 100</t>
  </si>
  <si>
    <t>https://ociplus.rmi.org/</t>
  </si>
  <si>
    <t>Columns of the db</t>
  </si>
  <si>
    <t>D</t>
  </si>
  <si>
    <t>M</t>
  </si>
  <si>
    <t>DJ</t>
  </si>
  <si>
    <t>DK</t>
  </si>
  <si>
    <t>DL</t>
  </si>
  <si>
    <t>DM</t>
  </si>
  <si>
    <t>Oil (Oil or Gas or Condensate (AQ) = Oil)</t>
  </si>
  <si>
    <t>Country</t>
  </si>
  <si>
    <t>Field Name</t>
  </si>
  <si>
    <t>Energy Output of Oil and Gas Produced</t>
  </si>
  <si>
    <t xml:space="preserve">Upstream </t>
  </si>
  <si>
    <t xml:space="preserve">Midstream </t>
  </si>
  <si>
    <t xml:space="preserve">Transport </t>
  </si>
  <si>
    <t>Downstream</t>
  </si>
  <si>
    <t>MJ/d</t>
  </si>
  <si>
    <t>Emission Intensity: gCO2e/MJ O&amp;G Produced</t>
  </si>
  <si>
    <t>El Feel</t>
  </si>
  <si>
    <t>El Sharara</t>
  </si>
  <si>
    <t>Messla</t>
  </si>
  <si>
    <t>Nasser</t>
  </si>
  <si>
    <t>Sarir</t>
  </si>
  <si>
    <t>Waha</t>
  </si>
  <si>
    <t>Weighted Avg - gCO2e/MJ</t>
  </si>
  <si>
    <t>Cerro Dragon</t>
  </si>
  <si>
    <t>El Tordillo</t>
  </si>
  <si>
    <t>Las Heras</t>
  </si>
  <si>
    <t>Los Perales</t>
  </si>
  <si>
    <t>Manantiales Behr</t>
  </si>
  <si>
    <t>Gas w/LNG (Oil or Gas or Condensate (AQ) = Gas; Gas shipped as LNG (I) = TRUE)</t>
  </si>
  <si>
    <t>Upstream + Midstream</t>
  </si>
  <si>
    <t>AUS</t>
  </si>
  <si>
    <t>Brunello-Julemar</t>
  </si>
  <si>
    <t>Codie Complex - coal bed methane</t>
  </si>
  <si>
    <t>Fairview - coal bed methane</t>
  </si>
  <si>
    <t>Greater Gorgon</t>
  </si>
  <si>
    <t>Ichthys</t>
  </si>
  <si>
    <t>Janzlo</t>
  </si>
  <si>
    <t>North Rankin</t>
  </si>
  <si>
    <t>Perseus</t>
  </si>
  <si>
    <t>Pluto</t>
  </si>
  <si>
    <t>Surat - coal bed methane</t>
  </si>
  <si>
    <t>Talinga-Orana - coal bed methane</t>
  </si>
  <si>
    <t>Wheatstone</t>
  </si>
  <si>
    <t>Weighted Avg</t>
  </si>
  <si>
    <t>CAN</t>
  </si>
  <si>
    <t>Montney BC</t>
  </si>
  <si>
    <t>GWP = 20</t>
  </si>
  <si>
    <t>NOIA Report (Crude)</t>
  </si>
  <si>
    <t>https://www.noia.org/noia-report-ghg-emission-intensity-of-crude-oil-and-condensate-production/</t>
  </si>
  <si>
    <t xml:space="preserve">1 bbl = </t>
  </si>
  <si>
    <t>GJ</t>
  </si>
  <si>
    <t>Prod. Well Construction</t>
  </si>
  <si>
    <t>Argentina</t>
  </si>
  <si>
    <t>kgCO2e/bbl</t>
  </si>
  <si>
    <t>gCO2e/MJ product</t>
  </si>
  <si>
    <t>gCO2e/mmBtu</t>
  </si>
  <si>
    <t>Libya</t>
  </si>
  <si>
    <t>gCO2e/MJ</t>
  </si>
  <si>
    <t>ICF's interpretation of EPA report (NG)</t>
  </si>
  <si>
    <t>Methane Leak Rates for Oil &amp; Gas Systems</t>
  </si>
  <si>
    <t>Base Year 2021 (EPA Inv.)</t>
  </si>
  <si>
    <t>Production</t>
  </si>
  <si>
    <t>G&amp;B</t>
  </si>
  <si>
    <t>Processing</t>
  </si>
  <si>
    <t>Pipeline &amp; Storage</t>
  </si>
  <si>
    <t>Sum (w/o dist.)</t>
  </si>
  <si>
    <t>2) Global Warming Potentials of Greenhouse Gases: relative to CO2</t>
  </si>
  <si>
    <t>Metrics for Carbon Dioxide, Methane, Nitrous Oxide</t>
  </si>
  <si>
    <t>AR Edition/Type</t>
  </si>
  <si>
    <t>AR6/GWP</t>
  </si>
  <si>
    <t>AR6/GTP</t>
  </si>
  <si>
    <t>AR5/GWP</t>
  </si>
  <si>
    <t>AR5/GTP</t>
  </si>
  <si>
    <t>AR4/GWP</t>
  </si>
  <si>
    <t>AR3/GWP</t>
  </si>
  <si>
    <t>AR2/GWP</t>
  </si>
  <si>
    <t>AR1/GWP</t>
  </si>
  <si>
    <t>Time Horizon (YR)</t>
  </si>
  <si>
    <t>CO2</t>
  </si>
  <si>
    <t>CH4</t>
  </si>
  <si>
    <t>N2O</t>
  </si>
  <si>
    <t>Metrics for Near Term Climate Forcers</t>
  </si>
  <si>
    <t>Type</t>
  </si>
  <si>
    <t>None</t>
  </si>
  <si>
    <t>GTP</t>
  </si>
  <si>
    <t>VOC</t>
  </si>
  <si>
    <t>CO</t>
  </si>
  <si>
    <t>NOx</t>
  </si>
  <si>
    <t>BC</t>
  </si>
  <si>
    <t>OC</t>
  </si>
  <si>
    <t>3) Carbon and Sulfur Ratios of Pollutants</t>
  </si>
  <si>
    <t>Carbon ratio of VOC</t>
  </si>
  <si>
    <t>Carbon ratio of CO</t>
  </si>
  <si>
    <t>Carbon ratio of CH4</t>
  </si>
  <si>
    <t>Carbon ratio of CO2</t>
  </si>
  <si>
    <t>Sulfur ratio of SO2</t>
  </si>
  <si>
    <t>5) Unit Conversion</t>
  </si>
  <si>
    <t>Mass</t>
  </si>
  <si>
    <t>1 g</t>
  </si>
  <si>
    <t>1 kg</t>
  </si>
  <si>
    <t>1 metric tonne</t>
  </si>
  <si>
    <t>1 lb</t>
  </si>
  <si>
    <t>1 short ton</t>
  </si>
  <si>
    <t>g</t>
  </si>
  <si>
    <t>metric tonne</t>
  </si>
  <si>
    <t>lb</t>
  </si>
  <si>
    <t>short ton</t>
  </si>
  <si>
    <t>Volume</t>
  </si>
  <si>
    <t>1 m3</t>
  </si>
  <si>
    <t>1 ml</t>
  </si>
  <si>
    <t>1 L</t>
  </si>
  <si>
    <t>1 gal</t>
  </si>
  <si>
    <t>1 ft3</t>
  </si>
  <si>
    <t>m3</t>
  </si>
  <si>
    <t>ml</t>
  </si>
  <si>
    <t>L</t>
  </si>
  <si>
    <t>gal</t>
  </si>
  <si>
    <t>ft3</t>
  </si>
  <si>
    <t>Energy</t>
  </si>
  <si>
    <t>1 J</t>
  </si>
  <si>
    <t>1kJ</t>
  </si>
  <si>
    <t>1 MJ</t>
  </si>
  <si>
    <t>1Wh</t>
  </si>
  <si>
    <t>1 kWh</t>
  </si>
  <si>
    <t>1 BTU</t>
  </si>
  <si>
    <t>1 mmBTU</t>
  </si>
  <si>
    <t>1 hph</t>
  </si>
  <si>
    <t>J</t>
  </si>
  <si>
    <t>kJ</t>
  </si>
  <si>
    <t>MJ</t>
  </si>
  <si>
    <t>Wh</t>
  </si>
  <si>
    <t>kWh</t>
  </si>
  <si>
    <t>BTU</t>
  </si>
  <si>
    <t>mmBTU</t>
  </si>
  <si>
    <t>hph</t>
  </si>
  <si>
    <t>Length</t>
  </si>
  <si>
    <t>mm</t>
  </si>
  <si>
    <t>m</t>
  </si>
  <si>
    <t>km</t>
  </si>
  <si>
    <t>ft</t>
  </si>
  <si>
    <t>mi</t>
  </si>
  <si>
    <t>1) Specifications of Fuels and Other Substances</t>
  </si>
  <si>
    <t>Heating Value</t>
  </si>
  <si>
    <t>Density</t>
  </si>
  <si>
    <t>C ratio</t>
  </si>
  <si>
    <t>S ratio</t>
  </si>
  <si>
    <t>LHV</t>
  </si>
  <si>
    <t>HHV</t>
  </si>
  <si>
    <t>(% by wt)</t>
  </si>
  <si>
    <t>(ppm by wt)</t>
  </si>
  <si>
    <t>Actual ratio by wt</t>
  </si>
  <si>
    <t>LHV/HHV</t>
  </si>
  <si>
    <t>Use LHV or HHV in calculations?</t>
  </si>
  <si>
    <t>1 -- LHV; 2 -- HHV</t>
  </si>
  <si>
    <t>Gaseous Fuels (at 32F and 1atm):</t>
  </si>
  <si>
    <t>Btu/ft3</t>
  </si>
  <si>
    <t>gms/ft3</t>
  </si>
  <si>
    <t>Gaseous hydrogen</t>
  </si>
  <si>
    <t>Non-Renewable Energy Sources - Hawai‘i State Energy Office (hawaii.gov)</t>
  </si>
  <si>
    <t>thousand barrels</t>
  </si>
  <si>
    <t>Electric Tab (Inputs tab, Electricity Generation Mix region = 4 (HICC Mix)</t>
  </si>
  <si>
    <t>A</t>
  </si>
  <si>
    <t>B</t>
  </si>
  <si>
    <t>C</t>
  </si>
  <si>
    <t>E</t>
  </si>
  <si>
    <t>F</t>
  </si>
  <si>
    <t>G</t>
  </si>
  <si>
    <t>H</t>
  </si>
  <si>
    <t>I</t>
  </si>
  <si>
    <t>2.2) Electricity Generation Mixes, Combustion Technolgy Shares and Power Plant Energy Conversion Efficiencies for GREET Calculation</t>
  </si>
  <si>
    <t>Generation Mix for EVs, Grid-Connected PHEVs, and Electrolysis H2</t>
  </si>
  <si>
    <t>Generation Mix for Stationary Applications</t>
  </si>
  <si>
    <t>Combustion Technology Shares for A Given Plant Fuel Type: EVs, GC PHEVs, and Electrolysis</t>
  </si>
  <si>
    <t>Combustion Technology Shares for A Given Plant Fuel Type (Stationary)</t>
  </si>
  <si>
    <t>Power Plant Energy Conversion Efficiency (Transportation)</t>
  </si>
  <si>
    <t>Power Plant Energy Conversion Efficiency (Stationary)</t>
  </si>
  <si>
    <t>Urban Emission Share for EVs, Grid-Connected PHEVs, and Electrolysis H2</t>
  </si>
  <si>
    <t>Urban Emission Share for Stationary Applications</t>
  </si>
  <si>
    <t>Residual Oil-Fired Power Plants</t>
  </si>
  <si>
    <t xml:space="preserve">     Boiler</t>
  </si>
  <si>
    <t xml:space="preserve">     Internal Combustion Engine</t>
  </si>
  <si>
    <t xml:space="preserve">     Gas Turbine</t>
  </si>
  <si>
    <t>Natural Gas-Fired Power Plants</t>
  </si>
  <si>
    <t xml:space="preserve">     Simple-cycle gas turbine</t>
  </si>
  <si>
    <t xml:space="preserve">     Combined-cycle gas turbine</t>
  </si>
  <si>
    <t>3) Electric Transmission and Distribution Loss</t>
  </si>
  <si>
    <t>6) Power Plant Energy Use and Emissions: per mmBtu of Electricity Available at User Sites (wall outlets)</t>
  </si>
  <si>
    <t>Oil-Fired Power Plant</t>
  </si>
  <si>
    <t>Oil-Fired Boiler Power Plants</t>
  </si>
  <si>
    <t>Oil-Fired Internal Combustion Engine Power Plants</t>
  </si>
  <si>
    <t>Oil-Fired Gas Turbine Power Plants</t>
  </si>
  <si>
    <t>Oil-Fired CC Power Plants</t>
  </si>
  <si>
    <t>Energy Use: Btu</t>
  </si>
  <si>
    <t xml:space="preserve">     Residual oil</t>
  </si>
  <si>
    <t>NG-Fired Power Plant</t>
  </si>
  <si>
    <t>NG-Fired Boiler Power Plant</t>
  </si>
  <si>
    <t>NG-Fired Simple Cycle Power Plant</t>
  </si>
  <si>
    <t>NG-Fired Combined Cycle Power Plant</t>
  </si>
  <si>
    <t>NG-Fired Internal Combustion Engine Power Plant</t>
  </si>
  <si>
    <t xml:space="preserve">    NG</t>
  </si>
  <si>
    <t>4) Power Plant Emissions: in Grams per kWh of Electricity Available at Power Plant Gate</t>
  </si>
  <si>
    <t>R</t>
  </si>
  <si>
    <t>S</t>
  </si>
  <si>
    <t>T</t>
  </si>
  <si>
    <t>U</t>
  </si>
  <si>
    <t>V</t>
  </si>
  <si>
    <t>W</t>
  </si>
  <si>
    <t>X</t>
  </si>
  <si>
    <t>g/kWh</t>
  </si>
  <si>
    <t>Oil Boiler</t>
  </si>
  <si>
    <t>Oil Internal Combustion Engine</t>
  </si>
  <si>
    <t>Oil Gas Turbine</t>
  </si>
  <si>
    <t>PM10</t>
  </si>
  <si>
    <t>PM2.5</t>
  </si>
  <si>
    <t>SOx</t>
  </si>
  <si>
    <t xml:space="preserve">CO2 </t>
  </si>
  <si>
    <t>Corn Ethanol</t>
  </si>
  <si>
    <t>Sugcane Ethanol</t>
  </si>
  <si>
    <t>Soybean Biodiesel</t>
  </si>
  <si>
    <t>CO2 (w/ C in VOC &amp; CO)</t>
  </si>
  <si>
    <t>GHGs</t>
  </si>
  <si>
    <t>GHGs (gCO2e/mmBtu)</t>
  </si>
  <si>
    <t>GHGs (gCO2e/kWh)</t>
  </si>
  <si>
    <t>GHGs (lb CO2e/mmBtu)</t>
  </si>
  <si>
    <t>Hydrogen (NG via SMR)-Fired Combined Cycle Power Plant</t>
  </si>
  <si>
    <t>Hydrogen (NG via ART/CCS)-Fired Combined Cycle Power Plant</t>
  </si>
  <si>
    <t>LNG-Fired Combined Cycle Power Plant</t>
  </si>
  <si>
    <t>Petroleum Tab (Inputs tab, Electricity Generation Mix region = 4 (HICC Mix)</t>
  </si>
  <si>
    <t>AF - Calc</t>
  </si>
  <si>
    <t>Calc</t>
  </si>
  <si>
    <t>Feedstocks</t>
  </si>
  <si>
    <t>Crude Transportation and Storage</t>
  </si>
  <si>
    <t>Crude Production</t>
  </si>
  <si>
    <t>Fuels</t>
  </si>
  <si>
    <t>g/mmBtu</t>
  </si>
  <si>
    <t>Crude for Use in U.S. Refineries</t>
  </si>
  <si>
    <t>Resi. Oil</t>
  </si>
  <si>
    <t>Loss factor</t>
  </si>
  <si>
    <t>Crude T&amp;D and Storage</t>
  </si>
  <si>
    <t>NG Tab (Inputs tab, Electricity Generation Mix region = 4 (HICC Mix)</t>
  </si>
  <si>
    <t>ANL GREET: Gaseous NG</t>
  </si>
  <si>
    <t>Input Tab</t>
  </si>
  <si>
    <t>4.2) Share of Conventional and Shale Gas for North America NG Supply</t>
  </si>
  <si>
    <t>Conventional Gas</t>
  </si>
  <si>
    <t>Shale Gas</t>
  </si>
  <si>
    <t>AD</t>
  </si>
  <si>
    <t>Natural Gas for Electricity generation</t>
  </si>
  <si>
    <t>Conventional NG Recovery</t>
  </si>
  <si>
    <t>Conventional NG Processing</t>
  </si>
  <si>
    <t>Conventional NG Processing: Non-Combustion Emissions</t>
  </si>
  <si>
    <t>Shale Gas Recovery</t>
  </si>
  <si>
    <t>Shale Gas Processing</t>
  </si>
  <si>
    <t>Shale Gas Processing: Non-Combustion Emissions</t>
  </si>
  <si>
    <t>NG Transmission to NG Electric Power Plant</t>
  </si>
  <si>
    <t xml:space="preserve">     VOC</t>
  </si>
  <si>
    <t xml:space="preserve">     CO</t>
  </si>
  <si>
    <t xml:space="preserve">     NOx</t>
  </si>
  <si>
    <t xml:space="preserve">     PM10</t>
  </si>
  <si>
    <t xml:space="preserve">     PM2.5</t>
  </si>
  <si>
    <t xml:space="preserve">     SOx</t>
  </si>
  <si>
    <t xml:space="preserve">     BC</t>
  </si>
  <si>
    <t xml:space="preserve">     OC</t>
  </si>
  <si>
    <t xml:space="preserve">     CH4: combustion</t>
  </si>
  <si>
    <t xml:space="preserve">     N2O</t>
  </si>
  <si>
    <t xml:space="preserve">     CO2</t>
  </si>
  <si>
    <t xml:space="preserve">     CH4: leakage</t>
  </si>
  <si>
    <t>Loss Factor</t>
  </si>
  <si>
    <t>NG Production</t>
  </si>
  <si>
    <t>NG T&amp;D to Power Plant</t>
  </si>
  <si>
    <t>ANL GREET: Imported LNG</t>
  </si>
  <si>
    <t>100% imported LNG (RNG tab, B118 = 100%)</t>
  </si>
  <si>
    <t>O</t>
  </si>
  <si>
    <t>P</t>
  </si>
  <si>
    <t>Q</t>
  </si>
  <si>
    <t>AJ</t>
  </si>
  <si>
    <t>AL</t>
  </si>
  <si>
    <t>AM</t>
  </si>
  <si>
    <t>BI</t>
  </si>
  <si>
    <t>BJ</t>
  </si>
  <si>
    <t>NNA NG Recovery</t>
  </si>
  <si>
    <t>NNA NG Processing</t>
  </si>
  <si>
    <t>NNA NG Processing: Non-Combustion Emissions</t>
  </si>
  <si>
    <t>NG Transmission to LNG Plant (as a final transportation fuel)</t>
  </si>
  <si>
    <t>NG Liquefaction: As an Intermediate Fuel</t>
  </si>
  <si>
    <t>LNG Transportation and Distribution: As an Intermediate Fuel</t>
  </si>
  <si>
    <t>LNG Storage: As an Intermediate Fuel</t>
  </si>
  <si>
    <t xml:space="preserve">Imported LNG Regasification </t>
  </si>
  <si>
    <t>Regasified LNG gas transmission to power plant</t>
  </si>
  <si>
    <t>NG T&amp;D to LNG Plant</t>
  </si>
  <si>
    <t>NG Liquefaction</t>
  </si>
  <si>
    <t>EPA NG Production (Harry's Input): Imported LNG</t>
  </si>
  <si>
    <t>100% imported LNG (RNG tab, B118 = 100%); EPA report (Inputs, E124 = 3)</t>
  </si>
  <si>
    <t>EtOH Tab</t>
  </si>
  <si>
    <t>BQ</t>
  </si>
  <si>
    <t>BR</t>
  </si>
  <si>
    <t>Corn Ethanol: Combined Dry and Wet Milling Ethanol</t>
  </si>
  <si>
    <t>Sugarcane Ethanol</t>
  </si>
  <si>
    <t>Corn</t>
  </si>
  <si>
    <t>Ethanol</t>
  </si>
  <si>
    <t>Sugarcane</t>
  </si>
  <si>
    <t>GHGs (gCO2e/MJ)</t>
  </si>
  <si>
    <t>BioOil Tab</t>
  </si>
  <si>
    <t>N</t>
  </si>
  <si>
    <t>Soy Oil-based Biodiesel</t>
  </si>
  <si>
    <t>per mmBtu</t>
  </si>
  <si>
    <t>Hydrogen Tab</t>
  </si>
  <si>
    <t>T&amp;D_Flowcharts, F1139, pipeline distance, miles</t>
  </si>
  <si>
    <t>T&amp;D_Flowcharts,AB1040 100%, pipeline distance, AC1040 100 miles; AD1042 0%</t>
  </si>
  <si>
    <t>BV</t>
  </si>
  <si>
    <t>BW</t>
  </si>
  <si>
    <t>G. Hydrogen (NG via SMR) for Use in Refineries</t>
  </si>
  <si>
    <t>Central Plants: NG ATR with CCS to Gaseous Hydrogen</t>
  </si>
  <si>
    <t>WTP</t>
  </si>
  <si>
    <t>PTW</t>
  </si>
  <si>
    <t>GHGs (kgCO2e/kgH2)</t>
  </si>
  <si>
    <t>Hydrogen CI (kgCO2e/kg H2) - WTG</t>
  </si>
  <si>
    <t>Hydrogen CI (gCO2e/mmBtu) - WTG</t>
  </si>
  <si>
    <t>Hydrogen CI (gCO2e/mmBtu) - T&amp;D (100 miles pipeline)</t>
  </si>
  <si>
    <t xml:space="preserve">     CH4</t>
  </si>
  <si>
    <t>Hydrogen CI (gCO2e/mmBtu) - WTG+T&amp;D</t>
  </si>
  <si>
    <t>T&amp;D Tab</t>
  </si>
  <si>
    <t>CH</t>
  </si>
  <si>
    <t>CI</t>
  </si>
  <si>
    <t>CJ</t>
  </si>
  <si>
    <t>CK</t>
  </si>
  <si>
    <t>Feedstock/Fuel</t>
  </si>
  <si>
    <t>Crude Oil for Use in U.S. Refineries</t>
  </si>
  <si>
    <t>LNG: as an intermediate product and for NNA NG feedstock</t>
  </si>
  <si>
    <t>Transportation Mode</t>
  </si>
  <si>
    <t>Ocean Tanker</t>
  </si>
  <si>
    <t>Barge</t>
  </si>
  <si>
    <t>Pipeline</t>
  </si>
  <si>
    <t>Rail</t>
  </si>
  <si>
    <t>Truck</t>
  </si>
  <si>
    <t>Distance (Miles, one-way)</t>
  </si>
  <si>
    <t>Total Emissions: grams/mmBtu fuel transported</t>
  </si>
  <si>
    <t xml:space="preserve">              VOC</t>
  </si>
  <si>
    <t xml:space="preserve">              CO</t>
  </si>
  <si>
    <t xml:space="preserve">              NOx</t>
  </si>
  <si>
    <t xml:space="preserve">              PM10</t>
  </si>
  <si>
    <t xml:space="preserve">              PM2.5</t>
  </si>
  <si>
    <t xml:space="preserve">              SOx</t>
  </si>
  <si>
    <t xml:space="preserve">              BC</t>
  </si>
  <si>
    <t xml:space="preserve">              OC</t>
  </si>
  <si>
    <t xml:space="preserve">              CH4</t>
  </si>
  <si>
    <t xml:space="preserve">              N2O</t>
  </si>
  <si>
    <t xml:space="preserve">              CO2</t>
  </si>
  <si>
    <t>GHGs (gCO2e/mmBtu-mile)</t>
  </si>
  <si>
    <t>Ocean Tanker Distance</t>
  </si>
  <si>
    <t>Bahía Blanca to Honolulu</t>
  </si>
  <si>
    <t>nm</t>
  </si>
  <si>
    <t>mile</t>
  </si>
  <si>
    <t>Ras Lanuf to Honolulu</t>
  </si>
  <si>
    <t>Gladstone to Honolulu</t>
  </si>
  <si>
    <t>CAN - Montney BC</t>
  </si>
  <si>
    <t>Vancouver to Honolulu</t>
  </si>
  <si>
    <t>CH4 leakage</t>
  </si>
  <si>
    <t>gCH4/mmBtu</t>
  </si>
  <si>
    <t>RMI/OCI+ (Upstream) + ANL GREET (Crude Transport, Refinery, and Combustion)</t>
  </si>
  <si>
    <t>Weighted average of LBY and ARG</t>
  </si>
  <si>
    <t>NOIA Report (Upstream) +ANL GREET (Crude Transport, Refinery, and Combustion)</t>
  </si>
  <si>
    <t>Upstream emissions of crude production from RMI/OCI+; Crude transport emission is re-evaluated based on ocean tanker distance and emission factors from GREET; Refinery and fuel combustion emissions are assumed to be the same as GREET default. RMI/OCI+ (Upstream) + ANL GREET (Crude Transport, Refinery, and Combustion)</t>
  </si>
  <si>
    <t>Power Plant Energy Use and Emissions: per mmBtu of Electricity Available at User Sites (wall outlets); assumes Power Plant Energy Conversion Efficiency (Stationary) = 32%</t>
  </si>
  <si>
    <t>&lt;-</t>
  </si>
  <si>
    <t>LNG</t>
  </si>
  <si>
    <t>Converted (kg/mmbtu fuel)</t>
  </si>
  <si>
    <t>EPA NG Production: Imported LNG</t>
  </si>
  <si>
    <t xml:space="preserve">     Combined cycle</t>
  </si>
  <si>
    <t>Oil-Fired ICE Power Plants</t>
  </si>
  <si>
    <t>Available at outlet:</t>
  </si>
  <si>
    <t>Crude oil transport – to refinery</t>
  </si>
  <si>
    <t>Assumption for domestic oil was to calculate major pipeline distance (based onGlobal Energy Monitor pipeline trackeror distance to nearest city if pipeline data not available for region) and assume 100% of produced oil travels by pipeline.</t>
  </si>
  <si>
    <t>Crude export fraction and main crude destinations were used to inform a percentage of oil traveling by ship and shipping distance.</t>
  </si>
  <si>
    <t>Example: Approximately 40% of Mexico crude oil consumed domestically and piped an assumed 350 miles viamain pipelineto Mexico City. Additional 60% exported via ocean tanker to U.S., Asia, and Europe.</t>
  </si>
  <si>
    <t>Gas pipeline – to point of distribution</t>
  </si>
  <si>
    <t>Assumption is all gas stays in country and travels distance to largest city, except countries where gas production is predominantly exported, in which case publicly available gas pipeline length was used.</t>
  </si>
  <si>
    <t>Example: Algerian gas assumed to be piped 1010 miles to Europe viaMaghreb-Europe Gas pipeline.</t>
  </si>
  <si>
    <t>LNG – to liquefaction and shipment to regasification</t>
  </si>
  <si>
    <t>Assumed a pipeline distance from gas field to nearest liquefaction terminal. LNG shipping distances calculated based on country-level gas trade data patterns</t>
  </si>
  <si>
    <t>Example: Qatari gas travels about 50 miles to Ras Laffen liquefaction terminal and about 8300 miles via tanker to Dusseldorf, Germany.</t>
  </si>
  <si>
    <t>Distances were estimated using available pipeline and LNG infrastructure data for continental transport, and port-to-port shipping distances for exported products. Where pipeline length data was not available, continental transport distance was assumed to be the distance from the field to the largest city in the destination country. Where liquefaction and regasification facility locations were not available, other ports were assumed for LNG shipment distances.</t>
  </si>
  <si>
    <t>Source - kg CO2e/mmBtu elec</t>
  </si>
  <si>
    <t>Diesel</t>
  </si>
  <si>
    <t>T&amp;D Loss</t>
  </si>
  <si>
    <t>CI (kg Co2e/mmbtu fuel)</t>
  </si>
  <si>
    <t>Residual Oil</t>
  </si>
  <si>
    <t>Biodiesel</t>
  </si>
  <si>
    <t>Average of CI (kg Co2e/mmbtu fuel)</t>
  </si>
  <si>
    <t>Average of CI (kg CO2e/mmbtu elec)</t>
  </si>
  <si>
    <t>Plant Conversion Efficiency (mmbtu fuel/mmbtu elec)*</t>
  </si>
  <si>
    <t>CI (kg CO2e/mmbtu elec)</t>
  </si>
  <si>
    <t>Common PPs</t>
  </si>
  <si>
    <t>kg/mmbtu</t>
  </si>
  <si>
    <t>GHGs (CO2e)</t>
  </si>
  <si>
    <t>20 Year GWP</t>
  </si>
  <si>
    <t>100 Year GWP</t>
  </si>
  <si>
    <t>Fuel (Well to Powerplant)</t>
  </si>
  <si>
    <t>Electricity (Well to Outlet)</t>
  </si>
  <si>
    <t>Percentage Change</t>
  </si>
  <si>
    <t>Crude - 20 Year GWP</t>
  </si>
  <si>
    <t>LNG - 20 Year GWP</t>
  </si>
  <si>
    <t>Crude - 100 Year GWP</t>
  </si>
  <si>
    <t>LNG - 100 Year GWP</t>
  </si>
  <si>
    <t>Comparison of Weighted Carbon Intensities</t>
  </si>
  <si>
    <t>CI (g CO2e /kWh)</t>
  </si>
  <si>
    <t>Total Average of CI (kg Co2e/mmbtu fuel)</t>
  </si>
  <si>
    <t>Total Average of CI (kg CO2e/mmbtu elec)</t>
  </si>
  <si>
    <t>Weighted Carbon Intensity (kg Co2e/mmbtu fuel input)</t>
  </si>
  <si>
    <t>Weighted Carbon Intensity (kg CO2e/mmbtu electricity output)</t>
  </si>
  <si>
    <t>Fuel and Lifecycle Stage</t>
  </si>
  <si>
    <t>20-year GWP</t>
  </si>
  <si>
    <t>100-year GWP</t>
  </si>
  <si>
    <t>Average of CI (g CO2e /kWh)</t>
  </si>
  <si>
    <t>Adjustable_HeatRate_CI</t>
  </si>
  <si>
    <t>Additional Results Tabs</t>
  </si>
  <si>
    <t>Based on eGRID - applies to all technologies for comparitive analysis</t>
  </si>
  <si>
    <t>Weighted Power Plant Efficency (Adjustable)</t>
  </si>
  <si>
    <t>Adjustable Input</t>
  </si>
  <si>
    <t>Autocalculates</t>
  </si>
  <si>
    <t>Summary of Oil_LNG Breakdown</t>
  </si>
  <si>
    <t>Input Tabs</t>
  </si>
  <si>
    <t>Inputs</t>
  </si>
  <si>
    <t>Electricity tab GREET, Emissions factors assuming GWP of 100 years</t>
  </si>
  <si>
    <t>Electrcitiy Tab from GREET, Emission Factors assuming GWP of 20 years</t>
  </si>
  <si>
    <t>Converted (kg/mmBTU)</t>
  </si>
  <si>
    <t>LNG - Thermal</t>
  </si>
  <si>
    <t>Summary - LNG-Oil</t>
  </si>
  <si>
    <r>
      <t xml:space="preserve">Data converted to </t>
    </r>
    <r>
      <rPr>
        <i/>
        <sz val="11"/>
        <color theme="1"/>
        <rFont val="Aptos Narrow"/>
        <family val="2"/>
        <scheme val="minor"/>
      </rPr>
      <t>tabular</t>
    </r>
    <r>
      <rPr>
        <sz val="11"/>
        <color theme="1"/>
        <rFont val="Aptos Narrow"/>
        <family val="2"/>
        <scheme val="minor"/>
      </rPr>
      <t xml:space="preserve"> format for chart making and pivot analysis. Allows for user to change the assumed power plant heat rates to convert from fuel input CI to electricity output CI (Uses existing scenarios - if scenarios are updated columns A-E require update)</t>
    </r>
  </si>
  <si>
    <t>Pivot_averages</t>
  </si>
  <si>
    <t>All emission averages from Oil_LNG Breakdown Tab Presented in Pivot Form</t>
  </si>
  <si>
    <t>Scenarios Pivot - fuel input</t>
  </si>
  <si>
    <t>Pivot table of all resources with solely fuel inputs, no powerplant efficiency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</si>
</sst>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
    <numFmt numFmtId="166" formatCode="0.000"/>
    <numFmt numFmtId="167" formatCode="#,##0.000000"/>
    <numFmt numFmtId="168" formatCode="#,##0.0"/>
    <numFmt numFmtId="169" formatCode="0.000000"/>
    <numFmt numFmtId="170" formatCode="0.0"/>
    <numFmt numFmtId="171" formatCode="0.0000"/>
    <numFmt numFmtId="172" formatCode="#,##0.0000"/>
    <numFmt numFmtId="173" formatCode="#,##0.000000000"/>
    <numFmt numFmtId="174" formatCode="#,##0.0000000000"/>
    <numFmt numFmtId="175" formatCode="#,##0.0000000"/>
  </numFmts>
  <fonts count="32"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b/>
      <sz val="10"/>
      <name val="Arial"/>
      <family val="2"/>
    </font>
    <font>
      <b/>
      <sz val="11"/>
      <name val="Arial"/>
      <family val="2"/>
    </font>
    <font>
      <b/>
      <sz val="11"/>
      <name val="Aptos Narrow"/>
      <family val="2"/>
      <scheme val="minor"/>
    </font>
    <font>
      <sz val="10"/>
      <name val="Arial"/>
      <family val="2"/>
    </font>
    <font>
      <sz val="11"/>
      <name val="Aptos Narrow"/>
      <family val="2"/>
      <scheme val="minor"/>
    </font>
    <font>
      <b/>
      <sz val="11"/>
      <color rgb="FFFF0000"/>
      <name val="Aptos Narrow"/>
      <family val="2"/>
      <scheme val="minor"/>
    </font>
    <font>
      <sz val="11"/>
      <color rgb="FF000000"/>
      <name val="Aptos Narrow"/>
      <family val="2"/>
      <scheme val="minor"/>
    </font>
    <font>
      <b/>
      <sz val="11"/>
      <color rgb="FF0070C0"/>
      <name val="Aptos Narrow"/>
      <family val="2"/>
      <scheme val="minor"/>
    </font>
    <font>
      <u/>
      <sz val="11"/>
      <color theme="10"/>
      <name val="Aptos Narrow"/>
      <family val="2"/>
      <scheme val="minor"/>
    </font>
    <font>
      <b/>
      <sz val="14"/>
      <color theme="1"/>
      <name val="Aptos Narrow"/>
      <family val="2"/>
      <scheme val="minor"/>
    </font>
    <font>
      <sz val="14"/>
      <color theme="1"/>
      <name val="Aptos Narrow"/>
      <family val="2"/>
      <scheme val="minor"/>
    </font>
    <font>
      <sz val="14"/>
      <color rgb="FFFF0000"/>
      <name val="Aptos Narrow"/>
      <family val="2"/>
      <scheme val="minor"/>
    </font>
    <font>
      <u/>
      <sz val="11"/>
      <color theme="1"/>
      <name val="Aptos Narrow"/>
      <family val="2"/>
      <scheme val="minor"/>
    </font>
    <font>
      <b/>
      <u/>
      <sz val="12"/>
      <color theme="1"/>
      <name val="Aptos Narrow"/>
      <family val="2"/>
      <scheme val="minor"/>
    </font>
    <font>
      <sz val="11"/>
      <color rgb="FF3F3F76"/>
      <name val="Aptos Narrow"/>
      <family val="2"/>
      <scheme val="minor"/>
    </font>
    <font>
      <b/>
      <sz val="11"/>
      <color rgb="FF3F3F3F"/>
      <name val="Aptos Narrow"/>
      <family val="2"/>
      <scheme val="minor"/>
    </font>
    <font>
      <sz val="11"/>
      <color theme="4" tint="0.59999389629810485"/>
      <name val="Aptos Narrow"/>
      <family val="2"/>
      <scheme val="minor"/>
    </font>
    <font>
      <b/>
      <sz val="11"/>
      <color rgb="FF3F3F76"/>
      <name val="Aptos Narrow"/>
      <family val="2"/>
      <scheme val="minor"/>
    </font>
    <font>
      <b/>
      <i/>
      <sz val="11"/>
      <color theme="1"/>
      <name val="Aptos Narrow"/>
      <family val="2"/>
      <scheme val="minor"/>
    </font>
    <font>
      <b/>
      <sz val="14"/>
      <name val="Aptos Narrow"/>
      <family val="2"/>
      <scheme val="minor"/>
    </font>
    <font>
      <b/>
      <sz val="11"/>
      <name val="DM Sans Medium"/>
    </font>
    <font>
      <sz val="11"/>
      <name val="DM Sans Medium"/>
    </font>
    <font>
      <i/>
      <sz val="11"/>
      <color theme="1"/>
      <name val="Aptos Narrow"/>
      <family val="2"/>
      <scheme val="minor"/>
    </font>
    <font>
      <sz val="12"/>
      <name val="Arial"/>
      <family val="2"/>
    </font>
    <font>
      <u/>
      <sz val="11"/>
      <name val="Aptos Narrow"/>
      <family val="2"/>
      <scheme val="minor"/>
    </font>
    <font>
      <b/>
      <sz val="16"/>
      <name val="Aptos Narrow"/>
      <family val="2"/>
      <scheme val="minor"/>
    </font>
    <font>
      <u/>
      <sz val="11"/>
      <color theme="4"/>
      <name val="Aptos Narrow"/>
      <family val="2"/>
      <scheme val="minor"/>
    </font>
  </fonts>
  <fills count="30">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9"/>
        <bgColor indexed="64"/>
      </patternFill>
    </fill>
    <fill>
      <patternFill patternType="solid">
        <fgColor theme="0" tint="-0.34998626667073579"/>
        <bgColor indexed="64"/>
      </patternFill>
    </fill>
    <fill>
      <patternFill patternType="solid">
        <fgColor indexed="29"/>
        <bgColor indexed="64"/>
      </patternFill>
    </fill>
    <fill>
      <patternFill patternType="solid">
        <fgColor indexed="13"/>
        <bgColor indexed="64"/>
      </patternFill>
    </fill>
    <fill>
      <patternFill patternType="solid">
        <fgColor indexed="13"/>
        <bgColor indexed="9"/>
      </patternFill>
    </fill>
    <fill>
      <patternFill patternType="solid">
        <fgColor rgb="FF00FF00"/>
        <bgColor indexed="64"/>
      </patternFill>
    </fill>
    <fill>
      <patternFill patternType="solid">
        <fgColor rgb="FFFF8080"/>
        <bgColor indexed="64"/>
      </patternFill>
    </fill>
    <fill>
      <patternFill patternType="solid">
        <fgColor theme="5"/>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4C6E7"/>
        <bgColor indexed="64"/>
      </patternFill>
    </fill>
    <fill>
      <patternFill patternType="solid">
        <fgColor theme="0"/>
        <bgColor indexed="64"/>
      </patternFill>
    </fill>
    <fill>
      <patternFill patternType="solid">
        <fgColor theme="8"/>
        <bgColor indexed="64"/>
      </patternFill>
    </fill>
    <fill>
      <patternFill patternType="solid">
        <fgColor rgb="FF30F298"/>
        <bgColor indexed="64"/>
      </patternFill>
    </fill>
    <fill>
      <patternFill patternType="solid">
        <fgColor rgb="FFFFF4D4"/>
        <bgColor indexed="64"/>
      </patternFill>
    </fill>
    <fill>
      <patternFill patternType="solid">
        <fgColor rgb="FFBCBEC0"/>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theme="4" tint="0.79998168889431442"/>
        <bgColor theme="4" tint="0.79998168889431442"/>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bottom style="thin">
        <color auto="1"/>
      </bottom>
      <diagonal/>
    </border>
    <border>
      <left/>
      <right style="thin">
        <color auto="1"/>
      </right>
      <top/>
      <bottom style="thin">
        <color indexed="64"/>
      </bottom>
      <diagonal/>
    </border>
    <border>
      <left/>
      <right style="thin">
        <color auto="1"/>
      </right>
      <top/>
      <bottom/>
      <diagonal/>
    </border>
    <border>
      <left style="thin">
        <color indexed="64"/>
      </left>
      <right style="thin">
        <color auto="1"/>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bottom style="thin">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rgb="FF3F3F3F"/>
      </left>
      <right style="medium">
        <color indexed="64"/>
      </right>
      <top style="thin">
        <color rgb="FF3F3F3F"/>
      </top>
      <bottom style="thin">
        <color rgb="FF3F3F3F"/>
      </bottom>
      <diagonal/>
    </border>
    <border>
      <left style="thin">
        <color rgb="FF7F7F7F"/>
      </left>
      <right style="thin">
        <color rgb="FF7F7F7F"/>
      </right>
      <top style="thin">
        <color rgb="FF7F7F7F"/>
      </top>
      <bottom style="medium">
        <color indexed="64"/>
      </bottom>
      <diagonal/>
    </border>
    <border>
      <left style="thin">
        <color rgb="FF3F3F3F"/>
      </left>
      <right style="medium">
        <color indexed="64"/>
      </right>
      <top style="thin">
        <color rgb="FF3F3F3F"/>
      </top>
      <bottom style="medium">
        <color indexed="64"/>
      </bottom>
      <diagonal/>
    </border>
    <border>
      <left/>
      <right style="thin">
        <color rgb="FFFF0000"/>
      </right>
      <top style="thin">
        <color indexed="64"/>
      </top>
      <bottom/>
      <diagonal/>
    </border>
    <border>
      <left style="thin">
        <color rgb="FFFF0000"/>
      </left>
      <right/>
      <top style="thin">
        <color indexed="64"/>
      </top>
      <bottom/>
      <diagonal/>
    </border>
    <border>
      <left/>
      <right/>
      <top style="thin">
        <color rgb="FFFF0000"/>
      </top>
      <bottom/>
      <diagonal/>
    </border>
    <border>
      <left style="thin">
        <color rgb="FFFF0000"/>
      </left>
      <right/>
      <top style="thin">
        <color rgb="FFFF0000"/>
      </top>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thin">
        <color rgb="FF3F3F3F"/>
      </right>
      <top style="thin">
        <color rgb="FF3F3F3F"/>
      </top>
      <bottom/>
      <diagonal/>
    </border>
  </borders>
  <cellStyleXfs count="8">
    <xf numFmtId="0" fontId="0" fillId="0" borderId="0"/>
    <xf numFmtId="9" fontId="1" fillId="0" borderId="0" applyFont="0" applyFill="0" applyBorder="0" applyAlignment="0" applyProtection="0"/>
    <xf numFmtId="0" fontId="8" fillId="0" borderId="16"/>
    <xf numFmtId="3" fontId="8" fillId="0" borderId="0" applyFont="0" applyFill="0" applyBorder="0" applyAlignment="0" applyProtection="0"/>
    <xf numFmtId="9" fontId="8" fillId="0" borderId="0" applyFont="0" applyFill="0" applyBorder="0" applyAlignment="0" applyProtection="0"/>
    <xf numFmtId="0" fontId="13" fillId="0" borderId="0" applyNumberFormat="0" applyFill="0" applyBorder="0" applyAlignment="0" applyProtection="0"/>
    <xf numFmtId="0" fontId="19" fillId="24" borderId="30" applyNumberFormat="0" applyAlignment="0" applyProtection="0"/>
    <xf numFmtId="0" fontId="20" fillId="25" borderId="31" applyNumberFormat="0" applyAlignment="0" applyProtection="0"/>
  </cellStyleXfs>
  <cellXfs count="579">
    <xf numFmtId="0" fontId="0" fillId="0" borderId="0" xfId="0"/>
    <xf numFmtId="0" fontId="5" fillId="0" borderId="1" xfId="0" applyFont="1" applyBorder="1" applyAlignment="1">
      <alignment horizontal="right"/>
    </xf>
    <xf numFmtId="0" fontId="5" fillId="0" borderId="3" xfId="0" applyFont="1" applyBorder="1" applyAlignment="1">
      <alignment horizontal="right"/>
    </xf>
    <xf numFmtId="164" fontId="0" fillId="0" borderId="4" xfId="0" applyNumberFormat="1" applyBorder="1"/>
    <xf numFmtId="164" fontId="0" fillId="0" borderId="0" xfId="0" applyNumberFormat="1"/>
    <xf numFmtId="3" fontId="0" fillId="0" borderId="0" xfId="0" applyNumberFormat="1"/>
    <xf numFmtId="3" fontId="0" fillId="0" borderId="6" xfId="0" applyNumberFormat="1" applyBorder="1"/>
    <xf numFmtId="3" fontId="0" fillId="0" borderId="7" xfId="0" applyNumberFormat="1" applyBorder="1"/>
    <xf numFmtId="0" fontId="0" fillId="0" borderId="4" xfId="0" applyBorder="1"/>
    <xf numFmtId="0" fontId="6" fillId="0" borderId="0" xfId="0" applyFont="1"/>
    <xf numFmtId="0" fontId="7" fillId="0" borderId="0" xfId="0" applyFont="1"/>
    <xf numFmtId="0" fontId="7" fillId="0" borderId="1" xfId="0" applyFont="1" applyBorder="1" applyAlignment="1">
      <alignment horizontal="right"/>
    </xf>
    <xf numFmtId="0" fontId="7" fillId="0" borderId="3" xfId="0" applyFont="1" applyBorder="1" applyAlignment="1">
      <alignment horizontal="right"/>
    </xf>
    <xf numFmtId="0" fontId="3" fillId="0" borderId="0" xfId="0" applyFont="1"/>
    <xf numFmtId="0" fontId="3" fillId="0" borderId="0" xfId="0" applyFont="1" applyAlignment="1">
      <alignment horizontal="center" vertical="center"/>
    </xf>
    <xf numFmtId="165" fontId="9" fillId="2" borderId="0" xfId="1" applyNumberFormat="1" applyFont="1" applyFill="1" applyBorder="1" applyAlignment="1"/>
    <xf numFmtId="0" fontId="0" fillId="0" borderId="0" xfId="0" applyAlignment="1">
      <alignment horizontal="center" vertical="center"/>
    </xf>
    <xf numFmtId="0" fontId="5" fillId="0" borderId="0" xfId="0" applyFont="1"/>
    <xf numFmtId="0" fontId="0" fillId="0" borderId="9" xfId="0" applyBorder="1"/>
    <xf numFmtId="0" fontId="0" fillId="0" borderId="10" xfId="0" applyBorder="1"/>
    <xf numFmtId="0" fontId="5" fillId="0" borderId="9" xfId="0" applyFont="1" applyBorder="1" applyAlignment="1">
      <alignment textRotation="90" wrapText="1"/>
    </xf>
    <xf numFmtId="0" fontId="5" fillId="0" borderId="10" xfId="0" applyFont="1" applyBorder="1" applyAlignment="1">
      <alignment textRotation="90" wrapText="1"/>
    </xf>
    <xf numFmtId="0" fontId="5" fillId="0" borderId="2" xfId="0" applyFont="1" applyBorder="1" applyAlignment="1">
      <alignment textRotation="90" wrapText="1"/>
    </xf>
    <xf numFmtId="0" fontId="5" fillId="0" borderId="3" xfId="0" applyFont="1" applyBorder="1" applyAlignment="1">
      <alignment textRotation="90" wrapText="1"/>
    </xf>
    <xf numFmtId="165" fontId="8" fillId="0" borderId="9" xfId="1" applyNumberFormat="1" applyFont="1" applyFill="1" applyBorder="1" applyAlignment="1"/>
    <xf numFmtId="165" fontId="8" fillId="0" borderId="10" xfId="1" applyNumberFormat="1" applyFont="1" applyFill="1" applyBorder="1" applyAlignment="1"/>
    <xf numFmtId="165" fontId="8" fillId="0" borderId="11" xfId="1" applyNumberFormat="1" applyFont="1" applyFill="1" applyBorder="1" applyAlignment="1"/>
    <xf numFmtId="165" fontId="8" fillId="0" borderId="4" xfId="1" applyNumberFormat="1" applyFont="1" applyFill="1" applyBorder="1" applyAlignment="1"/>
    <xf numFmtId="165" fontId="8" fillId="0" borderId="0" xfId="1" applyNumberFormat="1" applyFont="1" applyFill="1" applyBorder="1" applyAlignment="1"/>
    <xf numFmtId="165" fontId="8" fillId="0" borderId="7" xfId="1" applyNumberFormat="1" applyFont="1" applyFill="1" applyBorder="1" applyAlignment="1"/>
    <xf numFmtId="0" fontId="0" fillId="0" borderId="5" xfId="0" applyBorder="1"/>
    <xf numFmtId="0" fontId="0" fillId="0" borderId="12" xfId="0" applyBorder="1"/>
    <xf numFmtId="165" fontId="8" fillId="0" borderId="5" xfId="1" applyNumberFormat="1" applyFont="1" applyFill="1" applyBorder="1" applyAlignment="1"/>
    <xf numFmtId="165" fontId="8" fillId="0" borderId="12" xfId="1" applyNumberFormat="1" applyFont="1" applyFill="1" applyBorder="1" applyAlignment="1"/>
    <xf numFmtId="165" fontId="8" fillId="0" borderId="6" xfId="1" applyNumberFormat="1" applyFont="1" applyFill="1" applyBorder="1" applyAlignment="1"/>
    <xf numFmtId="0" fontId="4" fillId="5" borderId="0" xfId="0" applyFont="1" applyFill="1"/>
    <xf numFmtId="165" fontId="8" fillId="4" borderId="10" xfId="1" applyNumberFormat="1" applyFont="1" applyFill="1" applyBorder="1" applyAlignment="1"/>
    <xf numFmtId="0" fontId="0" fillId="0" borderId="13" xfId="0" applyBorder="1"/>
    <xf numFmtId="0" fontId="0" fillId="0" borderId="14" xfId="0" applyBorder="1"/>
    <xf numFmtId="0" fontId="5" fillId="0" borderId="3" xfId="0" applyFont="1" applyBorder="1" applyAlignment="1">
      <alignment horizontal="right" wrapText="1"/>
    </xf>
    <xf numFmtId="0" fontId="5" fillId="0" borderId="2" xfId="0" applyFont="1" applyBorder="1" applyAlignment="1">
      <alignment horizontal="right" wrapText="1"/>
    </xf>
    <xf numFmtId="164" fontId="0" fillId="0" borderId="7" xfId="0" applyNumberFormat="1" applyBorder="1"/>
    <xf numFmtId="0" fontId="0" fillId="0" borderId="8" xfId="0" applyBorder="1"/>
    <xf numFmtId="164" fontId="0" fillId="0" borderId="14" xfId="0" applyNumberFormat="1" applyBorder="1"/>
    <xf numFmtId="3" fontId="0" fillId="0" borderId="8" xfId="0" applyNumberFormat="1" applyBorder="1"/>
    <xf numFmtId="0" fontId="8" fillId="0" borderId="0" xfId="2" applyBorder="1"/>
    <xf numFmtId="0" fontId="6" fillId="0" borderId="0" xfId="2" applyFont="1" applyBorder="1"/>
    <xf numFmtId="0" fontId="8" fillId="0" borderId="4" xfId="2" applyBorder="1"/>
    <xf numFmtId="3" fontId="8" fillId="0" borderId="4" xfId="3" applyFont="1" applyFill="1" applyBorder="1" applyAlignment="1"/>
    <xf numFmtId="3" fontId="8" fillId="7" borderId="0" xfId="3" applyFont="1" applyFill="1" applyBorder="1" applyAlignment="1"/>
    <xf numFmtId="167" fontId="8" fillId="0" borderId="0" xfId="3" applyNumberFormat="1" applyFont="1" applyFill="1" applyBorder="1" applyAlignment="1"/>
    <xf numFmtId="166" fontId="8" fillId="0" borderId="7" xfId="3" applyNumberFormat="1" applyFont="1" applyFill="1" applyBorder="1" applyAlignment="1"/>
    <xf numFmtId="3" fontId="8" fillId="0" borderId="0" xfId="3" applyFont="1" applyFill="1" applyBorder="1" applyAlignment="1"/>
    <xf numFmtId="165" fontId="8" fillId="0" borderId="0" xfId="4" applyNumberFormat="1" applyFont="1" applyFill="1" applyBorder="1" applyAlignment="1"/>
    <xf numFmtId="3" fontId="8" fillId="0" borderId="0" xfId="2" applyNumberFormat="1" applyBorder="1"/>
    <xf numFmtId="165" fontId="8" fillId="7" borderId="0" xfId="4" applyNumberFormat="1" applyFont="1" applyFill="1" applyBorder="1" applyAlignment="1"/>
    <xf numFmtId="3" fontId="5" fillId="0" borderId="1" xfId="3" applyFont="1" applyFill="1" applyBorder="1" applyAlignment="1">
      <alignment horizontal="right"/>
    </xf>
    <xf numFmtId="3" fontId="5" fillId="0" borderId="2" xfId="3" applyFont="1" applyFill="1" applyBorder="1" applyAlignment="1">
      <alignment horizontal="right"/>
    </xf>
    <xf numFmtId="165" fontId="5" fillId="0" borderId="2" xfId="4" applyNumberFormat="1" applyFont="1" applyFill="1" applyBorder="1" applyAlignment="1"/>
    <xf numFmtId="3" fontId="5" fillId="0" borderId="2" xfId="3" applyFont="1" applyBorder="1" applyAlignment="1"/>
    <xf numFmtId="167" fontId="5" fillId="0" borderId="2" xfId="3" applyNumberFormat="1" applyFont="1" applyFill="1" applyBorder="1" applyAlignment="1"/>
    <xf numFmtId="166" fontId="5" fillId="0" borderId="3" xfId="3" applyNumberFormat="1" applyFont="1" applyFill="1" applyBorder="1" applyAlignment="1"/>
    <xf numFmtId="3" fontId="8" fillId="8" borderId="0" xfId="3" applyFont="1" applyFill="1" applyBorder="1" applyAlignment="1"/>
    <xf numFmtId="168" fontId="8" fillId="8" borderId="0" xfId="3" applyNumberFormat="1" applyFont="1" applyFill="1" applyBorder="1" applyAlignment="1"/>
    <xf numFmtId="0" fontId="8" fillId="0" borderId="9" xfId="2" applyBorder="1"/>
    <xf numFmtId="0" fontId="8" fillId="0" borderId="10" xfId="2" applyBorder="1"/>
    <xf numFmtId="0" fontId="8" fillId="0" borderId="2" xfId="2" applyBorder="1"/>
    <xf numFmtId="0" fontId="8" fillId="0" borderId="0" xfId="3" applyNumberFormat="1" applyFont="1" applyBorder="1" applyAlignment="1"/>
    <xf numFmtId="0" fontId="8" fillId="0" borderId="9" xfId="2" applyBorder="1" applyAlignment="1">
      <alignment horizontal="right"/>
    </xf>
    <xf numFmtId="0" fontId="8" fillId="10" borderId="13" xfId="3" applyNumberFormat="1" applyFont="1" applyFill="1" applyBorder="1" applyAlignment="1">
      <alignment horizontal="right"/>
    </xf>
    <xf numFmtId="0" fontId="0" fillId="0" borderId="10" xfId="3" applyNumberFormat="1" applyFont="1" applyFill="1" applyBorder="1" applyAlignment="1">
      <alignment horizontal="right"/>
    </xf>
    <xf numFmtId="0" fontId="0" fillId="0" borderId="10" xfId="3" applyNumberFormat="1" applyFont="1" applyBorder="1" applyAlignment="1">
      <alignment horizontal="right"/>
    </xf>
    <xf numFmtId="0" fontId="0" fillId="0" borderId="11" xfId="3" applyNumberFormat="1" applyFont="1" applyFill="1" applyBorder="1" applyAlignment="1">
      <alignment horizontal="right"/>
    </xf>
    <xf numFmtId="0" fontId="8" fillId="0" borderId="5" xfId="2" applyBorder="1" applyAlignment="1">
      <alignment horizontal="right"/>
    </xf>
    <xf numFmtId="0" fontId="8" fillId="10" borderId="8" xfId="3" applyNumberFormat="1" applyFont="1" applyFill="1" applyBorder="1" applyAlignment="1">
      <alignment horizontal="right"/>
    </xf>
    <xf numFmtId="0" fontId="8" fillId="0" borderId="12" xfId="3" applyNumberFormat="1" applyFont="1" applyFill="1" applyBorder="1" applyAlignment="1">
      <alignment horizontal="right"/>
    </xf>
    <xf numFmtId="0" fontId="8" fillId="0" borderId="12" xfId="3" applyNumberFormat="1" applyFont="1" applyBorder="1" applyAlignment="1">
      <alignment horizontal="right"/>
    </xf>
    <xf numFmtId="0" fontId="8" fillId="0" borderId="6" xfId="3" applyNumberFormat="1" applyFont="1" applyBorder="1" applyAlignment="1">
      <alignment horizontal="right"/>
    </xf>
    <xf numFmtId="0" fontId="8" fillId="0" borderId="4" xfId="2" applyBorder="1" applyAlignment="1">
      <alignment horizontal="right"/>
    </xf>
    <xf numFmtId="3" fontId="8" fillId="0" borderId="14" xfId="2" applyNumberFormat="1" applyBorder="1"/>
    <xf numFmtId="0" fontId="8" fillId="0" borderId="7" xfId="2" applyBorder="1"/>
    <xf numFmtId="3" fontId="8" fillId="0" borderId="8" xfId="2" applyNumberFormat="1" applyBorder="1"/>
    <xf numFmtId="0" fontId="8" fillId="0" borderId="12" xfId="2" applyBorder="1"/>
    <xf numFmtId="0" fontId="8" fillId="0" borderId="6" xfId="2" applyBorder="1"/>
    <xf numFmtId="0" fontId="8" fillId="0" borderId="0" xfId="2" applyBorder="1" applyAlignment="1">
      <alignment horizontal="right"/>
    </xf>
    <xf numFmtId="0" fontId="8" fillId="0" borderId="0" xfId="2" applyBorder="1" applyAlignment="1">
      <alignment horizontal="left"/>
    </xf>
    <xf numFmtId="0" fontId="8" fillId="0" borderId="9" xfId="2" applyBorder="1" applyAlignment="1">
      <alignment horizontal="left"/>
    </xf>
    <xf numFmtId="3" fontId="8" fillId="10" borderId="13" xfId="2" applyNumberFormat="1" applyFill="1" applyBorder="1" applyAlignment="1">
      <alignment horizontal="right"/>
    </xf>
    <xf numFmtId="0" fontId="8" fillId="0" borderId="10" xfId="2" applyBorder="1" applyAlignment="1">
      <alignment horizontal="right"/>
    </xf>
    <xf numFmtId="0" fontId="8" fillId="0" borderId="11" xfId="2" applyBorder="1" applyAlignment="1">
      <alignment horizontal="right"/>
    </xf>
    <xf numFmtId="0" fontId="8" fillId="0" borderId="12" xfId="2" applyBorder="1" applyAlignment="1">
      <alignment horizontal="right"/>
    </xf>
    <xf numFmtId="0" fontId="8" fillId="0" borderId="6" xfId="2" applyBorder="1" applyAlignment="1">
      <alignment horizontal="right"/>
    </xf>
    <xf numFmtId="0" fontId="8" fillId="9" borderId="0" xfId="2" applyFill="1" applyBorder="1"/>
    <xf numFmtId="0" fontId="8" fillId="9" borderId="7" xfId="2" applyFill="1" applyBorder="1"/>
    <xf numFmtId="2" fontId="8" fillId="0" borderId="11" xfId="2" applyNumberFormat="1" applyBorder="1"/>
    <xf numFmtId="2" fontId="8" fillId="0" borderId="7" xfId="2" applyNumberFormat="1" applyBorder="1"/>
    <xf numFmtId="2" fontId="8" fillId="0" borderId="6" xfId="2" applyNumberFormat="1" applyBorder="1"/>
    <xf numFmtId="0" fontId="8" fillId="0" borderId="0" xfId="2" applyBorder="1" applyAlignment="1">
      <alignment horizontal="center"/>
    </xf>
    <xf numFmtId="168" fontId="8" fillId="0" borderId="0" xfId="2" applyNumberFormat="1" applyBorder="1" applyAlignment="1">
      <alignment horizontal="center"/>
    </xf>
    <xf numFmtId="168" fontId="8" fillId="0" borderId="12" xfId="2" applyNumberFormat="1" applyBorder="1" applyAlignment="1">
      <alignment horizontal="center"/>
    </xf>
    <xf numFmtId="0" fontId="5" fillId="0" borderId="15" xfId="2" applyFont="1" applyBorder="1" applyAlignment="1">
      <alignment horizontal="center"/>
    </xf>
    <xf numFmtId="0" fontId="8" fillId="0" borderId="2" xfId="2" applyBorder="1" applyAlignment="1">
      <alignment horizontal="center"/>
    </xf>
    <xf numFmtId="0" fontId="8" fillId="0" borderId="3" xfId="2" applyBorder="1" applyAlignment="1">
      <alignment horizontal="center"/>
    </xf>
    <xf numFmtId="0" fontId="8" fillId="0" borderId="14" xfId="2" applyBorder="1" applyAlignment="1">
      <alignment horizontal="center"/>
    </xf>
    <xf numFmtId="3" fontId="8" fillId="0" borderId="0" xfId="2" applyNumberFormat="1" applyBorder="1" applyAlignment="1">
      <alignment horizontal="center"/>
    </xf>
    <xf numFmtId="164" fontId="8" fillId="0" borderId="0" xfId="2" applyNumberFormat="1" applyBorder="1" applyAlignment="1">
      <alignment horizontal="center"/>
    </xf>
    <xf numFmtId="3" fontId="8" fillId="0" borderId="7" xfId="2" applyNumberFormat="1" applyBorder="1" applyAlignment="1">
      <alignment horizontal="center"/>
    </xf>
    <xf numFmtId="167" fontId="8" fillId="0" borderId="0" xfId="2" applyNumberFormat="1" applyBorder="1" applyAlignment="1">
      <alignment horizontal="center"/>
    </xf>
    <xf numFmtId="164" fontId="8" fillId="0" borderId="7" xfId="2" applyNumberFormat="1" applyBorder="1" applyAlignment="1">
      <alignment horizontal="center"/>
    </xf>
    <xf numFmtId="0" fontId="8" fillId="0" borderId="8" xfId="2" applyBorder="1" applyAlignment="1">
      <alignment horizontal="center"/>
    </xf>
    <xf numFmtId="167" fontId="8" fillId="0" borderId="12" xfId="2" applyNumberFormat="1" applyBorder="1" applyAlignment="1">
      <alignment horizontal="center"/>
    </xf>
    <xf numFmtId="164" fontId="8" fillId="0" borderId="12" xfId="2" applyNumberFormat="1" applyBorder="1" applyAlignment="1">
      <alignment horizontal="center"/>
    </xf>
    <xf numFmtId="3" fontId="8" fillId="0" borderId="6" xfId="2" applyNumberFormat="1" applyBorder="1" applyAlignment="1">
      <alignment horizontal="center"/>
    </xf>
    <xf numFmtId="169" fontId="8" fillId="0" borderId="0" xfId="2" applyNumberFormat="1" applyBorder="1" applyAlignment="1">
      <alignment horizontal="center"/>
    </xf>
    <xf numFmtId="166" fontId="8" fillId="0" borderId="0" xfId="2" applyNumberFormat="1" applyBorder="1" applyAlignment="1">
      <alignment horizontal="center"/>
    </xf>
    <xf numFmtId="171" fontId="8" fillId="0" borderId="0" xfId="2" applyNumberFormat="1" applyBorder="1" applyAlignment="1">
      <alignment horizontal="center"/>
    </xf>
    <xf numFmtId="171" fontId="8" fillId="0" borderId="7" xfId="2" applyNumberFormat="1" applyBorder="1" applyAlignment="1">
      <alignment horizontal="center"/>
    </xf>
    <xf numFmtId="172" fontId="8" fillId="0" borderId="0" xfId="2" applyNumberFormat="1" applyBorder="1" applyAlignment="1">
      <alignment horizontal="center"/>
    </xf>
    <xf numFmtId="173" fontId="8" fillId="0" borderId="0" xfId="2" applyNumberFormat="1" applyBorder="1" applyAlignment="1">
      <alignment horizontal="center"/>
    </xf>
    <xf numFmtId="174" fontId="8" fillId="0" borderId="0" xfId="2" applyNumberFormat="1" applyBorder="1" applyAlignment="1">
      <alignment horizontal="center"/>
    </xf>
    <xf numFmtId="175" fontId="8" fillId="0" borderId="0" xfId="2" applyNumberFormat="1" applyBorder="1" applyAlignment="1">
      <alignment horizontal="center"/>
    </xf>
    <xf numFmtId="0" fontId="8" fillId="0" borderId="3" xfId="2" applyBorder="1"/>
    <xf numFmtId="0" fontId="8" fillId="0" borderId="11" xfId="2" applyBorder="1"/>
    <xf numFmtId="0" fontId="8" fillId="0" borderId="5" xfId="2" applyBorder="1"/>
    <xf numFmtId="164" fontId="0" fillId="4" borderId="4" xfId="0" applyNumberFormat="1" applyFill="1" applyBorder="1"/>
    <xf numFmtId="164" fontId="0" fillId="4" borderId="7" xfId="0" applyNumberFormat="1" applyFill="1" applyBorder="1"/>
    <xf numFmtId="3" fontId="0" fillId="4" borderId="4" xfId="0" applyNumberFormat="1" applyFill="1" applyBorder="1"/>
    <xf numFmtId="3" fontId="0" fillId="4" borderId="7" xfId="0" applyNumberFormat="1" applyFill="1" applyBorder="1"/>
    <xf numFmtId="0" fontId="0" fillId="0" borderId="15" xfId="0" applyBorder="1"/>
    <xf numFmtId="3" fontId="0" fillId="3" borderId="15" xfId="0" applyNumberFormat="1" applyFill="1" applyBorder="1"/>
    <xf numFmtId="166" fontId="0" fillId="0" borderId="0" xfId="0" applyNumberFormat="1"/>
    <xf numFmtId="2" fontId="0" fillId="0" borderId="0" xfId="0" applyNumberFormat="1"/>
    <xf numFmtId="1" fontId="0" fillId="0" borderId="0" xfId="0" applyNumberFormat="1"/>
    <xf numFmtId="165" fontId="8" fillId="0" borderId="4" xfId="4" applyNumberFormat="1" applyFont="1" applyFill="1" applyBorder="1" applyAlignment="1"/>
    <xf numFmtId="165" fontId="8" fillId="0" borderId="7" xfId="4" applyNumberFormat="1" applyFont="1" applyFill="1" applyBorder="1" applyAlignment="1"/>
    <xf numFmtId="165" fontId="8" fillId="0" borderId="5" xfId="4" applyNumberFormat="1" applyFont="1" applyFill="1" applyBorder="1" applyAlignment="1"/>
    <xf numFmtId="165" fontId="8" fillId="0" borderId="12" xfId="4" applyNumberFormat="1" applyFont="1" applyFill="1" applyBorder="1" applyAlignment="1"/>
    <xf numFmtId="165" fontId="8" fillId="0" borderId="6" xfId="4" applyNumberFormat="1" applyFont="1" applyFill="1" applyBorder="1" applyAlignment="1"/>
    <xf numFmtId="3" fontId="3" fillId="4" borderId="7" xfId="0" applyNumberFormat="1" applyFont="1" applyFill="1" applyBorder="1"/>
    <xf numFmtId="3" fontId="3" fillId="4" borderId="6" xfId="0" applyNumberFormat="1" applyFont="1" applyFill="1" applyBorder="1"/>
    <xf numFmtId="0" fontId="7" fillId="0" borderId="14" xfId="0" applyFont="1" applyBorder="1"/>
    <xf numFmtId="0" fontId="7" fillId="0" borderId="1" xfId="0" applyFont="1" applyBorder="1" applyAlignment="1">
      <alignment horizontal="center" vertical="center"/>
    </xf>
    <xf numFmtId="0" fontId="7" fillId="0" borderId="9" xfId="0" applyFont="1" applyBorder="1" applyAlignment="1">
      <alignment horizontal="center" vertical="center"/>
    </xf>
    <xf numFmtId="3" fontId="0" fillId="4" borderId="15" xfId="0" applyNumberFormat="1" applyFill="1" applyBorder="1" applyAlignment="1">
      <alignment horizontal="center" vertical="center"/>
    </xf>
    <xf numFmtId="0" fontId="5" fillId="0" borderId="15" xfId="0" applyFont="1" applyBorder="1" applyAlignment="1">
      <alignment horizontal="right"/>
    </xf>
    <xf numFmtId="0" fontId="5" fillId="0" borderId="11" xfId="0" applyFont="1" applyBorder="1" applyAlignment="1">
      <alignment horizontal="center"/>
    </xf>
    <xf numFmtId="3" fontId="8" fillId="0" borderId="14" xfId="3" applyFont="1" applyFill="1" applyBorder="1" applyAlignment="1"/>
    <xf numFmtId="164" fontId="8" fillId="0" borderId="14" xfId="3" applyNumberFormat="1" applyFont="1" applyFill="1" applyBorder="1" applyAlignment="1"/>
    <xf numFmtId="0" fontId="5" fillId="0" borderId="1" xfId="0" applyFont="1" applyBorder="1" applyAlignment="1">
      <alignment horizontal="centerContinuous" wrapText="1"/>
    </xf>
    <xf numFmtId="0" fontId="5" fillId="0" borderId="3" xfId="0" applyFont="1" applyBorder="1" applyAlignment="1">
      <alignment horizontal="centerContinuous" wrapText="1"/>
    </xf>
    <xf numFmtId="0" fontId="5" fillId="0" borderId="4" xfId="0" applyFont="1" applyBorder="1" applyAlignment="1">
      <alignment horizontal="right"/>
    </xf>
    <xf numFmtId="0" fontId="5" fillId="0" borderId="7" xfId="0" applyFont="1" applyBorder="1" applyAlignment="1">
      <alignment horizontal="right"/>
    </xf>
    <xf numFmtId="3" fontId="8" fillId="0" borderId="7" xfId="3" applyFont="1" applyFill="1" applyBorder="1" applyAlignment="1"/>
    <xf numFmtId="164" fontId="8" fillId="0" borderId="4" xfId="3" applyNumberFormat="1" applyFont="1" applyFill="1" applyBorder="1" applyAlignment="1"/>
    <xf numFmtId="164" fontId="8" fillId="0" borderId="7" xfId="3" applyNumberFormat="1" applyFont="1" applyFill="1" applyBorder="1" applyAlignment="1"/>
    <xf numFmtId="4" fontId="0" fillId="3" borderId="15" xfId="0" applyNumberFormat="1" applyFill="1" applyBorder="1"/>
    <xf numFmtId="164" fontId="0" fillId="0" borderId="2" xfId="0" applyNumberFormat="1" applyBorder="1" applyAlignment="1">
      <alignment horizontal="right" wrapText="1"/>
    </xf>
    <xf numFmtId="164" fontId="0" fillId="0" borderId="3" xfId="0" applyNumberFormat="1" applyBorder="1" applyAlignment="1">
      <alignment horizontal="right" wrapText="1"/>
    </xf>
    <xf numFmtId="164" fontId="8" fillId="0" borderId="0" xfId="3" applyNumberFormat="1" applyFont="1" applyFill="1" applyBorder="1" applyAlignment="1"/>
    <xf numFmtId="0" fontId="0" fillId="0" borderId="15" xfId="0" applyBorder="1" applyAlignment="1">
      <alignment wrapText="1"/>
    </xf>
    <xf numFmtId="3" fontId="0" fillId="3" borderId="12" xfId="0" applyNumberFormat="1" applyFill="1" applyBorder="1"/>
    <xf numFmtId="164" fontId="0" fillId="11" borderId="7" xfId="0" applyNumberFormat="1" applyFill="1" applyBorder="1"/>
    <xf numFmtId="3" fontId="0" fillId="11" borderId="7" xfId="0" applyNumberFormat="1" applyFill="1" applyBorder="1"/>
    <xf numFmtId="3" fontId="3" fillId="11" borderId="7" xfId="0" applyNumberFormat="1" applyFont="1" applyFill="1" applyBorder="1"/>
    <xf numFmtId="3" fontId="3" fillId="11" borderId="6" xfId="0" applyNumberFormat="1" applyFont="1" applyFill="1" applyBorder="1"/>
    <xf numFmtId="3" fontId="0" fillId="0" borderId="15" xfId="0" applyNumberFormat="1" applyBorder="1" applyAlignment="1">
      <alignment horizontal="center" vertical="center"/>
    </xf>
    <xf numFmtId="0" fontId="0" fillId="2" borderId="0" xfId="0" applyFill="1"/>
    <xf numFmtId="2" fontId="0" fillId="3" borderId="0" xfId="0" applyNumberFormat="1" applyFill="1"/>
    <xf numFmtId="3" fontId="3" fillId="4" borderId="4" xfId="0" applyNumberFormat="1" applyFont="1" applyFill="1" applyBorder="1"/>
    <xf numFmtId="3" fontId="3" fillId="4" borderId="5" xfId="0" applyNumberFormat="1" applyFont="1" applyFill="1" applyBorder="1"/>
    <xf numFmtId="0" fontId="9" fillId="0" borderId="15" xfId="0" applyFont="1" applyBorder="1"/>
    <xf numFmtId="3" fontId="9" fillId="0" borderId="15" xfId="0" applyNumberFormat="1" applyFont="1" applyBorder="1" applyAlignment="1">
      <alignment horizontal="center" vertical="center"/>
    </xf>
    <xf numFmtId="9" fontId="9" fillId="0" borderId="15" xfId="1" applyFont="1" applyBorder="1" applyAlignment="1">
      <alignment horizontal="center" vertical="center"/>
    </xf>
    <xf numFmtId="0" fontId="10" fillId="12" borderId="0" xfId="0" applyFont="1" applyFill="1"/>
    <xf numFmtId="2" fontId="10" fillId="12" borderId="0" xfId="0" applyNumberFormat="1" applyFont="1" applyFill="1" applyAlignment="1">
      <alignment horizontal="center" vertical="center"/>
    </xf>
    <xf numFmtId="0" fontId="10" fillId="0" borderId="0" xfId="0" applyFont="1"/>
    <xf numFmtId="0" fontId="4" fillId="13" borderId="0" xfId="0" applyFont="1" applyFill="1"/>
    <xf numFmtId="0" fontId="4" fillId="0" borderId="15" xfId="0" applyFont="1" applyBorder="1" applyAlignment="1">
      <alignment horizontal="center" vertical="center" wrapText="1"/>
    </xf>
    <xf numFmtId="0" fontId="4" fillId="0" borderId="15" xfId="0" applyFont="1" applyBorder="1" applyAlignment="1">
      <alignment horizontal="center" vertical="center"/>
    </xf>
    <xf numFmtId="0" fontId="4" fillId="0" borderId="15" xfId="0" applyFont="1" applyBorder="1"/>
    <xf numFmtId="2" fontId="0" fillId="0" borderId="15" xfId="0" applyNumberFormat="1" applyBorder="1" applyAlignment="1">
      <alignment horizontal="center" vertical="center"/>
    </xf>
    <xf numFmtId="2" fontId="0" fillId="0" borderId="15" xfId="0" applyNumberFormat="1" applyBorder="1"/>
    <xf numFmtId="2" fontId="0" fillId="14" borderId="15" xfId="0" applyNumberFormat="1" applyFill="1" applyBorder="1" applyAlignment="1">
      <alignment horizontal="center" vertical="center"/>
    </xf>
    <xf numFmtId="1" fontId="4" fillId="0" borderId="0" xfId="0" applyNumberFormat="1" applyFont="1"/>
    <xf numFmtId="0" fontId="3" fillId="0" borderId="0" xfId="0" applyFont="1" applyAlignment="1">
      <alignment vertical="center"/>
    </xf>
    <xf numFmtId="0" fontId="0" fillId="0" borderId="14" xfId="0" applyBorder="1" applyAlignment="1">
      <alignment horizontal="center"/>
    </xf>
    <xf numFmtId="1" fontId="0" fillId="0" borderId="8" xfId="0" applyNumberFormat="1" applyBorder="1" applyAlignment="1">
      <alignment horizontal="center"/>
    </xf>
    <xf numFmtId="0" fontId="0" fillId="0" borderId="8" xfId="0" applyBorder="1" applyAlignment="1">
      <alignment horizontal="center"/>
    </xf>
    <xf numFmtId="2" fontId="0" fillId="0" borderId="14" xfId="0" applyNumberFormat="1" applyBorder="1" applyAlignment="1">
      <alignment horizontal="center"/>
    </xf>
    <xf numFmtId="2" fontId="0" fillId="0" borderId="8" xfId="0" applyNumberFormat="1" applyBorder="1" applyAlignment="1">
      <alignment horizontal="center"/>
    </xf>
    <xf numFmtId="3" fontId="3" fillId="4" borderId="7" xfId="0" applyNumberFormat="1" applyFont="1" applyFill="1" applyBorder="1" applyAlignment="1">
      <alignment horizontal="center"/>
    </xf>
    <xf numFmtId="3" fontId="3" fillId="4" borderId="6" xfId="0" applyNumberFormat="1" applyFont="1" applyFill="1" applyBorder="1" applyAlignment="1">
      <alignment horizontal="center"/>
    </xf>
    <xf numFmtId="164" fontId="3" fillId="4" borderId="6" xfId="0" applyNumberFormat="1" applyFont="1" applyFill="1" applyBorder="1" applyAlignment="1">
      <alignment horizontal="center"/>
    </xf>
    <xf numFmtId="3" fontId="10" fillId="4" borderId="6" xfId="0" applyNumberFormat="1" applyFont="1" applyFill="1" applyBorder="1" applyAlignment="1">
      <alignment horizontal="center"/>
    </xf>
    <xf numFmtId="3" fontId="10" fillId="0" borderId="0" xfId="0" applyNumberFormat="1" applyFont="1" applyAlignment="1">
      <alignment horizontal="center" vertical="center"/>
    </xf>
    <xf numFmtId="170" fontId="0" fillId="0" borderId="0" xfId="0" applyNumberFormat="1"/>
    <xf numFmtId="4" fontId="10" fillId="4" borderId="6" xfId="0" applyNumberFormat="1" applyFont="1" applyFill="1" applyBorder="1" applyAlignment="1">
      <alignment horizontal="center"/>
    </xf>
    <xf numFmtId="2" fontId="3" fillId="0" borderId="0" xfId="0" applyNumberFormat="1" applyFont="1"/>
    <xf numFmtId="2" fontId="10" fillId="12" borderId="0" xfId="0" applyNumberFormat="1" applyFont="1" applyFill="1"/>
    <xf numFmtId="4" fontId="10" fillId="12" borderId="0" xfId="0" applyNumberFormat="1" applyFont="1" applyFill="1"/>
    <xf numFmtId="2" fontId="0" fillId="0" borderId="14" xfId="0" applyNumberFormat="1" applyBorder="1"/>
    <xf numFmtId="0" fontId="4" fillId="0" borderId="0" xfId="0" applyFont="1"/>
    <xf numFmtId="0" fontId="10" fillId="0" borderId="0" xfId="0" applyFont="1" applyAlignment="1">
      <alignment horizontal="center"/>
    </xf>
    <xf numFmtId="9" fontId="4" fillId="0" borderId="15" xfId="1" applyFont="1" applyFill="1" applyBorder="1"/>
    <xf numFmtId="1" fontId="10" fillId="4" borderId="8" xfId="0" applyNumberFormat="1" applyFont="1" applyFill="1" applyBorder="1"/>
    <xf numFmtId="3" fontId="10" fillId="4" borderId="5" xfId="0" applyNumberFormat="1" applyFont="1" applyFill="1" applyBorder="1"/>
    <xf numFmtId="3" fontId="7" fillId="3" borderId="15" xfId="0" applyNumberFormat="1" applyFont="1" applyFill="1" applyBorder="1"/>
    <xf numFmtId="0" fontId="9" fillId="0" borderId="0" xfId="0" applyFont="1"/>
    <xf numFmtId="0" fontId="4" fillId="15" borderId="0" xfId="0" applyFont="1" applyFill="1"/>
    <xf numFmtId="0" fontId="0" fillId="15" borderId="0" xfId="0" applyFill="1"/>
    <xf numFmtId="170" fontId="0" fillId="15" borderId="0" xfId="0" applyNumberFormat="1" applyFill="1"/>
    <xf numFmtId="1" fontId="0" fillId="15" borderId="0" xfId="0" applyNumberFormat="1" applyFill="1"/>
    <xf numFmtId="0" fontId="0" fillId="16" borderId="0" xfId="0" applyFill="1" applyAlignment="1">
      <alignment horizontal="center" vertical="center"/>
    </xf>
    <xf numFmtId="0" fontId="5" fillId="0" borderId="13" xfId="0" applyFont="1" applyBorder="1" applyAlignment="1">
      <alignment horizontal="center" vertical="center"/>
    </xf>
    <xf numFmtId="3" fontId="0" fillId="0" borderId="14" xfId="0" applyNumberFormat="1" applyBorder="1"/>
    <xf numFmtId="2" fontId="0" fillId="0" borderId="14" xfId="0" applyNumberFormat="1" applyBorder="1" applyAlignment="1">
      <alignment horizontal="right"/>
    </xf>
    <xf numFmtId="164" fontId="0" fillId="0" borderId="14" xfId="0" applyNumberFormat="1" applyBorder="1" applyAlignment="1">
      <alignment horizontal="right" vertical="center"/>
    </xf>
    <xf numFmtId="3" fontId="3" fillId="4" borderId="14" xfId="0" applyNumberFormat="1" applyFont="1" applyFill="1" applyBorder="1" applyAlignment="1">
      <alignment horizontal="right" vertical="center"/>
    </xf>
    <xf numFmtId="3" fontId="3" fillId="4" borderId="8" xfId="0" applyNumberFormat="1" applyFont="1" applyFill="1" applyBorder="1" applyAlignment="1">
      <alignment horizontal="right" vertical="center"/>
    </xf>
    <xf numFmtId="0" fontId="0" fillId="0" borderId="1" xfId="0" applyBorder="1"/>
    <xf numFmtId="172" fontId="7" fillId="3" borderId="15" xfId="0" applyNumberFormat="1" applyFont="1" applyFill="1" applyBorder="1" applyAlignment="1">
      <alignment horizontal="center" vertical="center"/>
    </xf>
    <xf numFmtId="0" fontId="4" fillId="0" borderId="0" xfId="0" applyFont="1" applyAlignment="1">
      <alignment horizontal="center" vertical="center"/>
    </xf>
    <xf numFmtId="0" fontId="11" fillId="0" borderId="15" xfId="0" applyFont="1" applyBorder="1" applyAlignment="1">
      <alignment horizontal="center" vertical="center" wrapText="1"/>
    </xf>
    <xf numFmtId="0" fontId="12" fillId="17" borderId="15" xfId="0" applyFont="1" applyFill="1" applyBorder="1" applyAlignment="1">
      <alignment horizontal="center" vertical="center" wrapText="1"/>
    </xf>
    <xf numFmtId="0" fontId="11" fillId="0" borderId="15" xfId="0" applyFont="1" applyBorder="1" applyAlignment="1">
      <alignment horizontal="right" vertical="center"/>
    </xf>
    <xf numFmtId="10" fontId="10" fillId="2" borderId="15" xfId="0" applyNumberFormat="1" applyFont="1" applyFill="1" applyBorder="1" applyAlignment="1">
      <alignment horizontal="center" vertical="center"/>
    </xf>
    <xf numFmtId="10" fontId="11" fillId="0" borderId="15" xfId="0" applyNumberFormat="1" applyFont="1" applyBorder="1" applyAlignment="1">
      <alignment horizontal="center" vertical="center"/>
    </xf>
    <xf numFmtId="0" fontId="4" fillId="2" borderId="0" xfId="0" applyFont="1" applyFill="1"/>
    <xf numFmtId="0" fontId="5" fillId="0" borderId="9" xfId="0" applyFont="1" applyBorder="1" applyAlignment="1">
      <alignment horizontal="left"/>
    </xf>
    <xf numFmtId="0" fontId="5" fillId="0" borderId="9" xfId="0" applyFont="1" applyBorder="1" applyAlignment="1">
      <alignment horizontal="centerContinuous"/>
    </xf>
    <xf numFmtId="0" fontId="5" fillId="0" borderId="10" xfId="0" applyFont="1" applyBorder="1" applyAlignment="1">
      <alignment horizontal="centerContinuous"/>
    </xf>
    <xf numFmtId="0" fontId="5" fillId="0" borderId="10" xfId="0" applyFont="1" applyBorder="1" applyAlignment="1">
      <alignment horizontal="right"/>
    </xf>
    <xf numFmtId="166" fontId="5" fillId="0" borderId="11" xfId="0" applyNumberFormat="1" applyFont="1" applyBorder="1" applyAlignment="1">
      <alignment horizontal="right"/>
    </xf>
    <xf numFmtId="0" fontId="5" fillId="0" borderId="4" xfId="0" applyFont="1" applyBorder="1" applyAlignment="1">
      <alignment horizontal="right" wrapText="1"/>
    </xf>
    <xf numFmtId="0" fontId="5" fillId="0" borderId="0" xfId="0" applyFont="1" applyAlignment="1">
      <alignment horizontal="right"/>
    </xf>
    <xf numFmtId="0" fontId="5" fillId="0" borderId="0" xfId="0" applyFont="1" applyAlignment="1">
      <alignment horizontal="right" wrapText="1"/>
    </xf>
    <xf numFmtId="166" fontId="5" fillId="0" borderId="7" xfId="0" applyNumberFormat="1" applyFont="1" applyBorder="1" applyAlignment="1">
      <alignment horizontal="right" wrapText="1"/>
    </xf>
    <xf numFmtId="0" fontId="5" fillId="0" borderId="4" xfId="0" applyFont="1" applyBorder="1"/>
    <xf numFmtId="0" fontId="5" fillId="6" borderId="4" xfId="0" applyFont="1" applyFill="1" applyBorder="1"/>
    <xf numFmtId="0" fontId="8" fillId="0" borderId="0" xfId="0" applyFont="1"/>
    <xf numFmtId="166" fontId="5" fillId="0" borderId="7" xfId="0" applyNumberFormat="1" applyFont="1" applyBorder="1"/>
    <xf numFmtId="0" fontId="5" fillId="0" borderId="1" xfId="0" applyFont="1" applyBorder="1"/>
    <xf numFmtId="164" fontId="10" fillId="4" borderId="6" xfId="0" applyNumberFormat="1" applyFont="1" applyFill="1" applyBorder="1" applyAlignment="1">
      <alignment horizontal="center"/>
    </xf>
    <xf numFmtId="0" fontId="0" fillId="0" borderId="0" xfId="0" applyAlignment="1">
      <alignment wrapText="1"/>
    </xf>
    <xf numFmtId="0" fontId="13" fillId="0" borderId="0" xfId="5"/>
    <xf numFmtId="0" fontId="14" fillId="2" borderId="0" xfId="0" applyFont="1" applyFill="1"/>
    <xf numFmtId="0" fontId="15" fillId="2" borderId="0" xfId="0" applyFont="1" applyFill="1"/>
    <xf numFmtId="0" fontId="16" fillId="2" borderId="0" xfId="0" applyFont="1" applyFill="1" applyAlignment="1">
      <alignment horizontal="center" vertical="center"/>
    </xf>
    <xf numFmtId="0" fontId="14" fillId="0" borderId="0" xfId="0" applyFont="1"/>
    <xf numFmtId="0" fontId="15" fillId="0" borderId="0" xfId="0" applyFont="1"/>
    <xf numFmtId="0" fontId="16" fillId="0" borderId="0" xfId="0" applyFont="1" applyAlignment="1">
      <alignment horizontal="center" vertical="center"/>
    </xf>
    <xf numFmtId="0" fontId="16" fillId="0" borderId="0" xfId="0" applyFont="1" applyAlignment="1">
      <alignment horizontal="center"/>
    </xf>
    <xf numFmtId="9" fontId="9" fillId="0" borderId="13" xfId="1" applyFont="1" applyBorder="1" applyAlignment="1">
      <alignment horizontal="center" vertical="center"/>
    </xf>
    <xf numFmtId="9" fontId="9" fillId="0" borderId="14" xfId="1" applyFont="1" applyBorder="1" applyAlignment="1">
      <alignment horizontal="center" vertical="center"/>
    </xf>
    <xf numFmtId="9" fontId="9" fillId="0" borderId="8" xfId="1" applyFont="1" applyBorder="1" applyAlignment="1">
      <alignment horizontal="center" vertical="center"/>
    </xf>
    <xf numFmtId="9" fontId="4" fillId="0" borderId="15" xfId="1" applyFont="1" applyBorder="1"/>
    <xf numFmtId="0" fontId="0" fillId="18" borderId="0" xfId="0" applyFill="1"/>
    <xf numFmtId="0" fontId="13" fillId="2" borderId="0" xfId="5" applyFill="1"/>
    <xf numFmtId="0" fontId="18" fillId="18" borderId="0" xfId="0" applyFon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3" fillId="0" borderId="24" xfId="0" applyFont="1" applyBorder="1"/>
    <xf numFmtId="0" fontId="0" fillId="0" borderId="26" xfId="0" applyBorder="1"/>
    <xf numFmtId="0" fontId="0" fillId="0" borderId="27" xfId="0" applyBorder="1"/>
    <xf numFmtId="0" fontId="0" fillId="0" borderId="28" xfId="0" applyBorder="1"/>
    <xf numFmtId="3" fontId="0" fillId="4" borderId="3" xfId="0" applyNumberFormat="1" applyFill="1" applyBorder="1" applyAlignment="1">
      <alignment horizontal="center" vertical="center"/>
    </xf>
    <xf numFmtId="3" fontId="0" fillId="4" borderId="1" xfId="0" applyNumberFormat="1" applyFill="1" applyBorder="1" applyAlignment="1">
      <alignment horizontal="center" vertical="center"/>
    </xf>
    <xf numFmtId="0" fontId="4" fillId="0" borderId="29" xfId="0" applyFont="1" applyBorder="1" applyAlignment="1">
      <alignment horizontal="left"/>
    </xf>
    <xf numFmtId="3" fontId="4" fillId="4" borderId="20" xfId="0" applyNumberFormat="1" applyFont="1" applyFill="1" applyBorder="1" applyAlignment="1">
      <alignment horizontal="center" vertical="center"/>
    </xf>
    <xf numFmtId="165" fontId="5" fillId="4" borderId="20" xfId="1" applyNumberFormat="1" applyFont="1" applyFill="1" applyBorder="1" applyAlignment="1"/>
    <xf numFmtId="4" fontId="4" fillId="4" borderId="20" xfId="0" applyNumberFormat="1" applyFont="1" applyFill="1" applyBorder="1" applyAlignment="1">
      <alignment horizontal="center" vertical="center"/>
    </xf>
    <xf numFmtId="0" fontId="0" fillId="23" borderId="10" xfId="3" applyNumberFormat="1" applyFont="1" applyFill="1" applyBorder="1" applyAlignment="1">
      <alignment horizontal="right"/>
    </xf>
    <xf numFmtId="0" fontId="8" fillId="23" borderId="12" xfId="3" applyNumberFormat="1" applyFont="1" applyFill="1" applyBorder="1" applyAlignment="1">
      <alignment horizontal="right"/>
    </xf>
    <xf numFmtId="3" fontId="8" fillId="23" borderId="14" xfId="2" applyNumberFormat="1" applyFill="1" applyBorder="1"/>
    <xf numFmtId="168" fontId="8" fillId="23" borderId="14" xfId="2" applyNumberFormat="1" applyFill="1" applyBorder="1"/>
    <xf numFmtId="3" fontId="8" fillId="23" borderId="8" xfId="2" applyNumberFormat="1" applyFill="1" applyBorder="1"/>
    <xf numFmtId="0" fontId="8" fillId="23" borderId="0" xfId="2" applyFill="1" applyBorder="1"/>
    <xf numFmtId="0" fontId="8" fillId="23" borderId="12" xfId="2" applyFill="1" applyBorder="1"/>
    <xf numFmtId="0" fontId="0" fillId="0" borderId="0" xfId="0" applyAlignment="1">
      <alignment horizontal="left" indent="2"/>
    </xf>
    <xf numFmtId="4" fontId="9" fillId="20" borderId="10" xfId="0" applyNumberFormat="1" applyFont="1" applyFill="1" applyBorder="1" applyAlignment="1">
      <alignment horizontal="center" vertical="center"/>
    </xf>
    <xf numFmtId="4" fontId="9" fillId="0" borderId="2" xfId="0" applyNumberFormat="1" applyFont="1" applyBorder="1" applyAlignment="1">
      <alignment horizontal="center" vertical="center"/>
    </xf>
    <xf numFmtId="4" fontId="9" fillId="21" borderId="0" xfId="0" applyNumberFormat="1" applyFont="1" applyFill="1" applyAlignment="1">
      <alignment horizontal="center" vertical="center"/>
    </xf>
    <xf numFmtId="4" fontId="9" fillId="21" borderId="12" xfId="0" applyNumberFormat="1" applyFont="1" applyFill="1" applyBorder="1" applyAlignment="1">
      <alignment horizontal="center" vertical="center"/>
    </xf>
    <xf numFmtId="4" fontId="9" fillId="20" borderId="0" xfId="0" applyNumberFormat="1" applyFont="1" applyFill="1" applyAlignment="1">
      <alignment horizontal="center" vertical="center"/>
    </xf>
    <xf numFmtId="4" fontId="9" fillId="20" borderId="12" xfId="0" applyNumberFormat="1" applyFont="1" applyFill="1" applyBorder="1" applyAlignment="1">
      <alignment horizontal="center" vertical="center"/>
    </xf>
    <xf numFmtId="165" fontId="8" fillId="0" borderId="9" xfId="4" applyNumberFormat="1" applyFont="1" applyFill="1" applyBorder="1" applyAlignment="1"/>
    <xf numFmtId="165" fontId="8" fillId="0" borderId="10" xfId="4" applyNumberFormat="1" applyFont="1" applyFill="1" applyBorder="1" applyAlignment="1"/>
    <xf numFmtId="165" fontId="8" fillId="0" borderId="11" xfId="4" applyNumberFormat="1" applyFont="1" applyFill="1" applyBorder="1" applyAlignment="1"/>
    <xf numFmtId="0" fontId="5" fillId="0" borderId="15" xfId="0" applyFont="1" applyBorder="1" applyAlignment="1">
      <alignment horizontal="right" wrapText="1"/>
    </xf>
    <xf numFmtId="3" fontId="21" fillId="4" borderId="4" xfId="0" applyNumberFormat="1" applyFont="1" applyFill="1" applyBorder="1"/>
    <xf numFmtId="3" fontId="21" fillId="4" borderId="7" xfId="0" applyNumberFormat="1" applyFont="1" applyFill="1" applyBorder="1"/>
    <xf numFmtId="3" fontId="21" fillId="11" borderId="7" xfId="0" applyNumberFormat="1" applyFont="1" applyFill="1" applyBorder="1"/>
    <xf numFmtId="3" fontId="21" fillId="4" borderId="5" xfId="0" applyNumberFormat="1" applyFont="1" applyFill="1" applyBorder="1"/>
    <xf numFmtId="3" fontId="21" fillId="4" borderId="6" xfId="0" applyNumberFormat="1" applyFont="1" applyFill="1" applyBorder="1"/>
    <xf numFmtId="3" fontId="21" fillId="11" borderId="6" xfId="0" applyNumberFormat="1" applyFont="1" applyFill="1" applyBorder="1"/>
    <xf numFmtId="0" fontId="0" fillId="0" borderId="32" xfId="0" applyBorder="1"/>
    <xf numFmtId="0" fontId="9" fillId="0" borderId="33" xfId="0" applyFont="1" applyBorder="1"/>
    <xf numFmtId="3" fontId="7" fillId="3" borderId="33" xfId="0" applyNumberFormat="1" applyFont="1" applyFill="1" applyBorder="1"/>
    <xf numFmtId="0" fontId="0" fillId="0" borderId="34" xfId="0" applyBorder="1"/>
    <xf numFmtId="0" fontId="0" fillId="0" borderId="35" xfId="0" applyBorder="1"/>
    <xf numFmtId="0" fontId="0" fillId="0" borderId="36" xfId="0" applyBorder="1"/>
    <xf numFmtId="0" fontId="0" fillId="0" borderId="37" xfId="0" applyBorder="1"/>
    <xf numFmtId="0" fontId="9" fillId="0" borderId="38" xfId="0" applyFont="1" applyBorder="1"/>
    <xf numFmtId="3" fontId="7" fillId="3" borderId="38" xfId="0" applyNumberFormat="1" applyFont="1" applyFill="1" applyBorder="1"/>
    <xf numFmtId="0" fontId="0" fillId="0" borderId="39" xfId="0" applyBorder="1"/>
    <xf numFmtId="0" fontId="0" fillId="0" borderId="24" xfId="0" applyBorder="1" applyAlignment="1">
      <alignment wrapText="1"/>
    </xf>
    <xf numFmtId="0" fontId="7" fillId="0" borderId="1" xfId="0" applyFont="1" applyBorder="1" applyAlignment="1">
      <alignment horizontal="center" vertical="center" wrapText="1"/>
    </xf>
    <xf numFmtId="0" fontId="0" fillId="0" borderId="25" xfId="0" applyBorder="1" applyAlignment="1">
      <alignment wrapText="1"/>
    </xf>
    <xf numFmtId="0" fontId="7" fillId="0" borderId="9" xfId="0" applyFont="1" applyBorder="1" applyAlignment="1">
      <alignment horizontal="center" vertical="center" wrapText="1"/>
    </xf>
    <xf numFmtId="2" fontId="0" fillId="0" borderId="0" xfId="1" applyNumberFormat="1" applyFont="1"/>
    <xf numFmtId="0" fontId="20" fillId="25" borderId="31" xfId="7"/>
    <xf numFmtId="0" fontId="4" fillId="0" borderId="35" xfId="0" applyFont="1" applyBorder="1"/>
    <xf numFmtId="2" fontId="20" fillId="25" borderId="41" xfId="7" applyNumberFormat="1" applyBorder="1"/>
    <xf numFmtId="0" fontId="4" fillId="0" borderId="37" xfId="0" applyFont="1" applyBorder="1"/>
    <xf numFmtId="2" fontId="20" fillId="25" borderId="43" xfId="7" applyNumberFormat="1" applyBorder="1"/>
    <xf numFmtId="9" fontId="22" fillId="24" borderId="30" xfId="6" applyNumberFormat="1" applyFont="1"/>
    <xf numFmtId="9" fontId="22" fillId="24" borderId="42" xfId="6" applyNumberFormat="1" applyFont="1" applyBorder="1"/>
    <xf numFmtId="0" fontId="4" fillId="11" borderId="32" xfId="0" applyFont="1" applyFill="1" applyBorder="1" applyAlignment="1">
      <alignment wrapText="1"/>
    </xf>
    <xf numFmtId="0" fontId="4" fillId="11" borderId="40" xfId="0" applyFont="1" applyFill="1" applyBorder="1" applyAlignment="1">
      <alignment wrapText="1"/>
    </xf>
    <xf numFmtId="0" fontId="4" fillId="11" borderId="34" xfId="0" applyFont="1" applyFill="1" applyBorder="1" applyAlignment="1">
      <alignment wrapText="1"/>
    </xf>
    <xf numFmtId="0" fontId="4" fillId="26" borderId="29" xfId="0" applyFont="1" applyFill="1" applyBorder="1"/>
    <xf numFmtId="10" fontId="4" fillId="0" borderId="0" xfId="1" applyNumberFormat="1" applyFont="1" applyFill="1"/>
    <xf numFmtId="165" fontId="5" fillId="0" borderId="0" xfId="4" applyNumberFormat="1" applyFont="1" applyFill="1" applyBorder="1" applyAlignment="1"/>
    <xf numFmtId="165" fontId="8" fillId="4" borderId="44" xfId="1" applyNumberFormat="1" applyFont="1" applyFill="1" applyBorder="1" applyAlignment="1"/>
    <xf numFmtId="165" fontId="8" fillId="0" borderId="45" xfId="4" applyNumberFormat="1" applyFont="1" applyFill="1" applyBorder="1" applyAlignment="1"/>
    <xf numFmtId="165" fontId="8" fillId="4" borderId="47" xfId="1" applyNumberFormat="1" applyFont="1" applyFill="1" applyBorder="1" applyAlignment="1"/>
    <xf numFmtId="165" fontId="8" fillId="0" borderId="46" xfId="4" applyNumberFormat="1" applyFont="1" applyFill="1" applyBorder="1" applyAlignment="1"/>
    <xf numFmtId="3" fontId="4" fillId="4" borderId="15" xfId="0" applyNumberFormat="1" applyFont="1" applyFill="1" applyBorder="1" applyAlignment="1">
      <alignment horizontal="center" vertical="center"/>
    </xf>
    <xf numFmtId="165" fontId="5" fillId="4" borderId="10" xfId="1" applyNumberFormat="1" applyFont="1" applyFill="1" applyBorder="1" applyAlignment="1"/>
    <xf numFmtId="3" fontId="7" fillId="4" borderId="4" xfId="0" applyNumberFormat="1" applyFont="1" applyFill="1" applyBorder="1"/>
    <xf numFmtId="3" fontId="7" fillId="4" borderId="7" xfId="0" applyNumberFormat="1" applyFont="1" applyFill="1" applyBorder="1"/>
    <xf numFmtId="3" fontId="7" fillId="11" borderId="7" xfId="0" applyNumberFormat="1" applyFont="1" applyFill="1" applyBorder="1"/>
    <xf numFmtId="0" fontId="7" fillId="0" borderId="8" xfId="0" applyFont="1" applyBorder="1"/>
    <xf numFmtId="3" fontId="7" fillId="4" borderId="5" xfId="0" applyNumberFormat="1" applyFont="1" applyFill="1" applyBorder="1"/>
    <xf numFmtId="3" fontId="7" fillId="4" borderId="6" xfId="0" applyNumberFormat="1" applyFont="1" applyFill="1" applyBorder="1"/>
    <xf numFmtId="3" fontId="7" fillId="11" borderId="6" xfId="0" applyNumberFormat="1" applyFont="1" applyFill="1" applyBorder="1"/>
    <xf numFmtId="0" fontId="4" fillId="0" borderId="29" xfId="0" applyFont="1" applyBorder="1"/>
    <xf numFmtId="0" fontId="4" fillId="0" borderId="0" xfId="0" applyFont="1" applyAlignment="1">
      <alignment horizontal="left" indent="1"/>
    </xf>
    <xf numFmtId="164" fontId="4" fillId="0" borderId="14" xfId="0" applyNumberFormat="1" applyFont="1" applyBorder="1"/>
    <xf numFmtId="0" fontId="0" fillId="27" borderId="0" xfId="0" applyFill="1" applyAlignment="1">
      <alignment horizontal="left" indent="2"/>
    </xf>
    <xf numFmtId="0" fontId="4" fillId="27" borderId="0" xfId="0" applyFont="1" applyFill="1"/>
    <xf numFmtId="9" fontId="0" fillId="0" borderId="0" xfId="1" applyFont="1"/>
    <xf numFmtId="0" fontId="4" fillId="28" borderId="0" xfId="0" applyFont="1" applyFill="1"/>
    <xf numFmtId="0" fontId="0" fillId="28" borderId="0" xfId="0" applyFill="1"/>
    <xf numFmtId="0" fontId="2" fillId="28" borderId="0" xfId="0" applyFont="1" applyFill="1"/>
    <xf numFmtId="0" fontId="2" fillId="18" borderId="0" xfId="0" applyFont="1" applyFill="1"/>
    <xf numFmtId="0" fontId="4" fillId="26" borderId="0" xfId="0" applyFont="1" applyFill="1"/>
    <xf numFmtId="170" fontId="0" fillId="0" borderId="0" xfId="0" applyNumberFormat="1" applyAlignment="1">
      <alignment horizontal="center" vertical="center"/>
    </xf>
    <xf numFmtId="170" fontId="4" fillId="0" borderId="29" xfId="0" applyNumberFormat="1" applyFont="1" applyBorder="1" applyAlignment="1">
      <alignment horizontal="center" vertical="center"/>
    </xf>
    <xf numFmtId="0" fontId="4" fillId="26" borderId="29" xfId="0" applyFont="1" applyFill="1" applyBorder="1" applyAlignment="1">
      <alignment horizontal="center"/>
    </xf>
    <xf numFmtId="9" fontId="22" fillId="24" borderId="30" xfId="6" applyNumberFormat="1" applyFont="1" applyAlignment="1">
      <alignment horizontal="left"/>
    </xf>
    <xf numFmtId="9" fontId="22" fillId="24" borderId="42" xfId="6" applyNumberFormat="1" applyFont="1" applyBorder="1" applyAlignment="1">
      <alignment horizontal="left"/>
    </xf>
    <xf numFmtId="0" fontId="24" fillId="0" borderId="0" xfId="0" applyFont="1"/>
    <xf numFmtId="0" fontId="24" fillId="0" borderId="0" xfId="0" applyFont="1" applyAlignment="1">
      <alignment horizontal="center" wrapText="1"/>
    </xf>
    <xf numFmtId="0" fontId="24" fillId="0" borderId="0" xfId="0" applyFont="1" applyAlignment="1">
      <alignment horizontal="center"/>
    </xf>
    <xf numFmtId="0" fontId="25" fillId="20" borderId="17" xfId="0" applyFont="1" applyFill="1" applyBorder="1" applyAlignment="1">
      <alignment horizontal="left" vertical="center" wrapText="1" readingOrder="1"/>
    </xf>
    <xf numFmtId="0" fontId="24" fillId="0" borderId="0" xfId="0" applyFont="1" applyAlignment="1">
      <alignment wrapText="1"/>
    </xf>
    <xf numFmtId="0" fontId="26" fillId="21" borderId="18" xfId="0" applyFont="1" applyFill="1" applyBorder="1" applyAlignment="1">
      <alignment horizontal="left" vertical="center" wrapText="1" readingOrder="1"/>
    </xf>
    <xf numFmtId="0" fontId="26" fillId="22" borderId="19" xfId="0" applyFont="1" applyFill="1" applyBorder="1" applyAlignment="1">
      <alignment horizontal="left" vertical="center" wrapText="1" readingOrder="1"/>
    </xf>
    <xf numFmtId="0" fontId="9" fillId="4" borderId="0" xfId="0" applyFont="1" applyFill="1"/>
    <xf numFmtId="0" fontId="9" fillId="4" borderId="0" xfId="0" applyFont="1" applyFill="1" applyAlignment="1">
      <alignment horizontal="center" wrapText="1"/>
    </xf>
    <xf numFmtId="0" fontId="9" fillId="4" borderId="0" xfId="0" applyFont="1" applyFill="1" applyAlignment="1">
      <alignment horizontal="center"/>
    </xf>
    <xf numFmtId="0" fontId="7" fillId="3" borderId="9" xfId="0" applyFont="1" applyFill="1" applyBorder="1"/>
    <xf numFmtId="0" fontId="7" fillId="3" borderId="10" xfId="0" applyFont="1" applyFill="1" applyBorder="1"/>
    <xf numFmtId="0" fontId="7" fillId="3" borderId="10" xfId="0" applyFont="1" applyFill="1" applyBorder="1" applyAlignment="1">
      <alignment horizontal="center" vertical="center" wrapText="1"/>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wrapText="1"/>
    </xf>
    <xf numFmtId="0" fontId="9" fillId="0" borderId="0" xfId="0" applyFont="1" applyAlignment="1">
      <alignment horizontal="center"/>
    </xf>
    <xf numFmtId="0" fontId="9" fillId="0" borderId="9" xfId="0" applyFont="1" applyBorder="1"/>
    <xf numFmtId="0" fontId="9" fillId="0" borderId="10" xfId="0" applyFont="1" applyBorder="1"/>
    <xf numFmtId="3" fontId="9" fillId="20" borderId="10" xfId="0" applyNumberFormat="1" applyFont="1" applyFill="1" applyBorder="1" applyAlignment="1">
      <alignment horizontal="center" vertical="center" wrapText="1"/>
    </xf>
    <xf numFmtId="3" fontId="9" fillId="20" borderId="10" xfId="0" applyNumberFormat="1" applyFont="1" applyFill="1" applyBorder="1" applyAlignment="1">
      <alignment horizontal="center" vertical="center"/>
    </xf>
    <xf numFmtId="3" fontId="7" fillId="20" borderId="10" xfId="0" applyNumberFormat="1" applyFont="1" applyFill="1" applyBorder="1" applyAlignment="1">
      <alignment horizontal="center" vertical="center"/>
    </xf>
    <xf numFmtId="9" fontId="9" fillId="0" borderId="11" xfId="0" applyNumberFormat="1"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xf numFmtId="3" fontId="9" fillId="0" borderId="2" xfId="0" applyNumberFormat="1" applyFont="1" applyBorder="1" applyAlignment="1">
      <alignment horizontal="center" vertical="center" wrapText="1"/>
    </xf>
    <xf numFmtId="3" fontId="7" fillId="0" borderId="2" xfId="0" applyNumberFormat="1" applyFont="1" applyBorder="1" applyAlignment="1">
      <alignment horizontal="center" vertical="center"/>
    </xf>
    <xf numFmtId="0" fontId="9" fillId="0" borderId="3" xfId="0" applyFont="1" applyBorder="1" applyAlignment="1">
      <alignment horizontal="center" vertical="center" wrapText="1"/>
    </xf>
    <xf numFmtId="0" fontId="7" fillId="0" borderId="13" xfId="0" applyFont="1" applyBorder="1" applyAlignment="1">
      <alignment horizontal="left" indent="2"/>
    </xf>
    <xf numFmtId="3" fontId="9" fillId="21" borderId="0" xfId="0" applyNumberFormat="1" applyFont="1" applyFill="1" applyAlignment="1">
      <alignment horizontal="center" vertical="center" wrapText="1"/>
    </xf>
    <xf numFmtId="3" fontId="7" fillId="21" borderId="0" xfId="0" applyNumberFormat="1" applyFont="1" applyFill="1" applyAlignment="1">
      <alignment horizontal="center" vertical="center"/>
    </xf>
    <xf numFmtId="3" fontId="9" fillId="21" borderId="0" xfId="0" applyNumberFormat="1" applyFont="1" applyFill="1" applyAlignment="1">
      <alignment horizontal="center" vertical="center"/>
    </xf>
    <xf numFmtId="9" fontId="9" fillId="0" borderId="7" xfId="1" applyFont="1" applyBorder="1" applyAlignment="1">
      <alignment horizontal="center" vertical="center" wrapText="1"/>
    </xf>
    <xf numFmtId="0" fontId="7" fillId="0" borderId="8" xfId="0" applyFont="1" applyBorder="1" applyAlignment="1">
      <alignment horizontal="left" indent="2"/>
    </xf>
    <xf numFmtId="0" fontId="7" fillId="0" borderId="12" xfId="0" applyFont="1" applyBorder="1"/>
    <xf numFmtId="3" fontId="9" fillId="21" borderId="12" xfId="0" applyNumberFormat="1" applyFont="1" applyFill="1" applyBorder="1" applyAlignment="1">
      <alignment horizontal="center" vertical="center" wrapText="1"/>
    </xf>
    <xf numFmtId="3" fontId="7" fillId="21" borderId="12" xfId="0" applyNumberFormat="1" applyFont="1" applyFill="1" applyBorder="1" applyAlignment="1">
      <alignment horizontal="center" vertical="center"/>
    </xf>
    <xf numFmtId="3" fontId="9" fillId="21" borderId="12" xfId="0" applyNumberFormat="1" applyFont="1" applyFill="1" applyBorder="1" applyAlignment="1">
      <alignment horizontal="center" vertical="center"/>
    </xf>
    <xf numFmtId="3" fontId="9" fillId="0" borderId="2" xfId="0" applyNumberFormat="1" applyFont="1" applyBorder="1" applyAlignment="1">
      <alignment horizontal="center" vertical="center"/>
    </xf>
    <xf numFmtId="3" fontId="7" fillId="20" borderId="0" xfId="0" applyNumberFormat="1" applyFont="1" applyFill="1" applyAlignment="1">
      <alignment horizontal="center" vertical="center"/>
    </xf>
    <xf numFmtId="3" fontId="9" fillId="20" borderId="0" xfId="0" applyNumberFormat="1" applyFont="1" applyFill="1" applyAlignment="1">
      <alignment horizontal="center" vertical="center"/>
    </xf>
    <xf numFmtId="0" fontId="9" fillId="0" borderId="0" xfId="0" applyFont="1" applyAlignment="1">
      <alignment horizontal="left"/>
    </xf>
    <xf numFmtId="3" fontId="7" fillId="20" borderId="12" xfId="0" applyNumberFormat="1" applyFont="1" applyFill="1" applyBorder="1" applyAlignment="1">
      <alignment horizontal="center" vertical="center"/>
    </xf>
    <xf numFmtId="3" fontId="9" fillId="20" borderId="12" xfId="0" applyNumberFormat="1" applyFont="1" applyFill="1" applyBorder="1" applyAlignment="1">
      <alignment horizontal="center" vertical="center"/>
    </xf>
    <xf numFmtId="0" fontId="9" fillId="0" borderId="1" xfId="0" applyFont="1" applyBorder="1" applyAlignment="1">
      <alignment wrapText="1"/>
    </xf>
    <xf numFmtId="3" fontId="9" fillId="13" borderId="0" xfId="0" applyNumberFormat="1" applyFont="1" applyFill="1" applyAlignment="1">
      <alignment horizontal="center" vertical="center" wrapText="1"/>
    </xf>
    <xf numFmtId="9" fontId="9" fillId="0" borderId="11" xfId="1" applyFont="1" applyBorder="1" applyAlignment="1">
      <alignment horizontal="center" vertical="center" wrapText="1"/>
    </xf>
    <xf numFmtId="3" fontId="9" fillId="13" borderId="12" xfId="0" applyNumberFormat="1" applyFont="1" applyFill="1" applyBorder="1" applyAlignment="1">
      <alignment horizontal="center" vertical="center" wrapText="1"/>
    </xf>
    <xf numFmtId="9" fontId="9" fillId="0" borderId="6" xfId="1" applyFont="1" applyBorder="1" applyAlignment="1">
      <alignment horizontal="center" vertical="center" wrapText="1"/>
    </xf>
    <xf numFmtId="0" fontId="7" fillId="3" borderId="0" xfId="0" applyFont="1" applyFill="1" applyAlignment="1">
      <alignment horizontal="center" vertical="center"/>
    </xf>
    <xf numFmtId="0" fontId="7" fillId="3" borderId="15" xfId="0" applyFont="1" applyFill="1" applyBorder="1" applyAlignment="1">
      <alignment horizontal="center" vertical="center"/>
    </xf>
    <xf numFmtId="0" fontId="9" fillId="0" borderId="0" xfId="0" applyFont="1" applyAlignment="1">
      <alignment horizontal="center" wrapText="1"/>
    </xf>
    <xf numFmtId="2" fontId="9" fillId="0" borderId="0" xfId="0" applyNumberFormat="1" applyFont="1" applyAlignment="1">
      <alignment horizontal="center" wrapText="1"/>
    </xf>
    <xf numFmtId="0" fontId="7" fillId="2" borderId="15" xfId="0" applyFont="1" applyFill="1" applyBorder="1"/>
    <xf numFmtId="3" fontId="7" fillId="2" borderId="15" xfId="0" applyNumberFormat="1" applyFont="1" applyFill="1" applyBorder="1" applyAlignment="1">
      <alignment horizontal="center" vertical="center"/>
    </xf>
    <xf numFmtId="0" fontId="7" fillId="3" borderId="11" xfId="0" applyFont="1" applyFill="1" applyBorder="1" applyAlignment="1">
      <alignment horizontal="center" vertical="center"/>
    </xf>
    <xf numFmtId="0" fontId="9" fillId="0" borderId="1" xfId="0" applyFont="1" applyBorder="1"/>
    <xf numFmtId="0" fontId="7" fillId="0" borderId="4" xfId="0" applyFont="1" applyBorder="1" applyAlignment="1">
      <alignment horizontal="left" indent="2"/>
    </xf>
    <xf numFmtId="0" fontId="7" fillId="3" borderId="1" xfId="0" applyFont="1" applyFill="1" applyBorder="1" applyAlignment="1">
      <alignment wrapText="1"/>
    </xf>
    <xf numFmtId="0" fontId="7" fillId="3" borderId="2" xfId="0" applyFont="1" applyFill="1" applyBorder="1" applyAlignment="1">
      <alignment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9" fillId="0" borderId="0" xfId="0" applyFont="1" applyAlignment="1">
      <alignment wrapText="1"/>
    </xf>
    <xf numFmtId="3" fontId="9" fillId="20" borderId="2" xfId="0" applyNumberFormat="1" applyFont="1" applyFill="1" applyBorder="1" applyAlignment="1">
      <alignment horizontal="center" vertical="center" wrapText="1"/>
    </xf>
    <xf numFmtId="3" fontId="9" fillId="20" borderId="2" xfId="0" applyNumberFormat="1" applyFont="1" applyFill="1" applyBorder="1" applyAlignment="1">
      <alignment horizontal="center" vertical="center"/>
    </xf>
    <xf numFmtId="3" fontId="7" fillId="20" borderId="3" xfId="0" applyNumberFormat="1" applyFont="1" applyFill="1" applyBorder="1" applyAlignment="1">
      <alignment horizontal="center" vertical="center"/>
    </xf>
    <xf numFmtId="0" fontId="9" fillId="0" borderId="15" xfId="0" applyFont="1" applyBorder="1" applyAlignment="1">
      <alignment vertical="center" wrapText="1"/>
    </xf>
    <xf numFmtId="3" fontId="9" fillId="21" borderId="2" xfId="0" applyNumberFormat="1" applyFont="1" applyFill="1" applyBorder="1" applyAlignment="1">
      <alignment horizontal="center" vertical="center" wrapText="1"/>
    </xf>
    <xf numFmtId="3" fontId="9" fillId="21" borderId="2" xfId="0" applyNumberFormat="1" applyFont="1" applyFill="1" applyBorder="1" applyAlignment="1">
      <alignment horizontal="center" vertical="center"/>
    </xf>
    <xf numFmtId="3" fontId="7" fillId="21" borderId="3" xfId="0" applyNumberFormat="1" applyFont="1" applyFill="1" applyBorder="1" applyAlignment="1">
      <alignment horizontal="center" vertical="center"/>
    </xf>
    <xf numFmtId="3" fontId="7" fillId="13" borderId="2" xfId="0" applyNumberFormat="1" applyFont="1" applyFill="1" applyBorder="1" applyAlignment="1">
      <alignment horizontal="center" vertical="center" wrapText="1"/>
    </xf>
    <xf numFmtId="3" fontId="9" fillId="13" borderId="2" xfId="0" applyNumberFormat="1" applyFont="1" applyFill="1" applyBorder="1" applyAlignment="1">
      <alignment horizontal="center" vertical="center"/>
    </xf>
    <xf numFmtId="3" fontId="9" fillId="13" borderId="2" xfId="0" applyNumberFormat="1" applyFont="1" applyFill="1" applyBorder="1" applyAlignment="1">
      <alignment horizontal="center" vertical="center" wrapText="1"/>
    </xf>
    <xf numFmtId="3" fontId="7" fillId="13" borderId="3" xfId="0" applyNumberFormat="1" applyFont="1" applyFill="1" applyBorder="1" applyAlignment="1">
      <alignment horizontal="center" vertical="center"/>
    </xf>
    <xf numFmtId="0" fontId="7" fillId="0" borderId="4" xfId="0" applyFont="1" applyBorder="1"/>
    <xf numFmtId="166" fontId="9" fillId="0" borderId="15" xfId="0" applyNumberFormat="1" applyFont="1" applyBorder="1" applyAlignment="1">
      <alignment horizontal="center" wrapText="1"/>
    </xf>
    <xf numFmtId="166" fontId="9" fillId="0" borderId="15" xfId="0" applyNumberFormat="1" applyFont="1" applyBorder="1" applyAlignment="1">
      <alignment horizontal="center"/>
    </xf>
    <xf numFmtId="0" fontId="9" fillId="2" borderId="0" xfId="0" applyFont="1" applyFill="1"/>
    <xf numFmtId="3" fontId="9" fillId="2" borderId="15" xfId="0" applyNumberFormat="1" applyFont="1" applyFill="1" applyBorder="1" applyAlignment="1">
      <alignment horizontal="center" vertical="center"/>
    </xf>
    <xf numFmtId="0" fontId="7" fillId="3" borderId="0" xfId="0" applyFont="1" applyFill="1" applyAlignment="1">
      <alignment horizontal="center" vertical="center" wrapText="1"/>
    </xf>
    <xf numFmtId="4" fontId="9" fillId="20" borderId="2" xfId="0" applyNumberFormat="1" applyFont="1" applyFill="1" applyBorder="1" applyAlignment="1">
      <alignment horizontal="center" vertical="center" wrapText="1"/>
    </xf>
    <xf numFmtId="4" fontId="9" fillId="21" borderId="2" xfId="0" applyNumberFormat="1" applyFont="1" applyFill="1" applyBorder="1" applyAlignment="1">
      <alignment horizontal="center" vertical="center" wrapText="1"/>
    </xf>
    <xf numFmtId="4" fontId="9" fillId="13" borderId="2" xfId="0" applyNumberFormat="1" applyFont="1" applyFill="1" applyBorder="1" applyAlignment="1">
      <alignment horizontal="center" vertical="center" wrapText="1"/>
    </xf>
    <xf numFmtId="0" fontId="7" fillId="4" borderId="0" xfId="0" applyFont="1" applyFill="1"/>
    <xf numFmtId="0" fontId="7" fillId="3" borderId="15" xfId="0" applyFont="1" applyFill="1" applyBorder="1"/>
    <xf numFmtId="3" fontId="9" fillId="0" borderId="15" xfId="0" applyNumberFormat="1" applyFont="1" applyBorder="1" applyAlignment="1">
      <alignment horizontal="center" vertical="center" wrapText="1"/>
    </xf>
    <xf numFmtId="0" fontId="9" fillId="0" borderId="9" xfId="0" applyFont="1" applyBorder="1" applyAlignment="1">
      <alignment horizontal="left" vertical="center" wrapText="1"/>
    </xf>
    <xf numFmtId="3" fontId="9" fillId="0" borderId="13" xfId="0" applyNumberFormat="1" applyFont="1" applyBorder="1" applyAlignment="1">
      <alignment horizontal="center" vertical="center"/>
    </xf>
    <xf numFmtId="3" fontId="9" fillId="0" borderId="13" xfId="0" applyNumberFormat="1" applyFont="1" applyBorder="1" applyAlignment="1">
      <alignment horizontal="center" vertical="center" wrapText="1"/>
    </xf>
    <xf numFmtId="0" fontId="9" fillId="0" borderId="14" xfId="0" applyFont="1" applyBorder="1"/>
    <xf numFmtId="3" fontId="9" fillId="0" borderId="14" xfId="0" applyNumberFormat="1" applyFont="1" applyBorder="1" applyAlignment="1">
      <alignment horizontal="center" vertical="center"/>
    </xf>
    <xf numFmtId="3" fontId="9" fillId="0" borderId="14" xfId="0" applyNumberFormat="1" applyFont="1" applyBorder="1" applyAlignment="1">
      <alignment horizontal="center" vertical="center" wrapText="1"/>
    </xf>
    <xf numFmtId="0" fontId="9" fillId="0" borderId="8" xfId="0" applyFont="1" applyBorder="1"/>
    <xf numFmtId="3" fontId="9" fillId="0" borderId="8" xfId="0" applyNumberFormat="1" applyFont="1" applyBorder="1" applyAlignment="1">
      <alignment horizontal="center" vertical="center"/>
    </xf>
    <xf numFmtId="3" fontId="9" fillId="0" borderId="8" xfId="0" applyNumberFormat="1" applyFont="1" applyBorder="1" applyAlignment="1">
      <alignment horizontal="center" vertical="center" wrapText="1"/>
    </xf>
    <xf numFmtId="0" fontId="9" fillId="0" borderId="9" xfId="0" applyFont="1" applyBorder="1" applyAlignment="1">
      <alignment wrapText="1"/>
    </xf>
    <xf numFmtId="3" fontId="9" fillId="0" borderId="10" xfId="0" applyNumberFormat="1" applyFont="1" applyBorder="1" applyAlignment="1">
      <alignment horizontal="center" vertical="center"/>
    </xf>
    <xf numFmtId="3" fontId="9" fillId="0" borderId="10" xfId="0" applyNumberFormat="1" applyFont="1" applyBorder="1" applyAlignment="1">
      <alignment horizontal="center" vertical="center" wrapText="1"/>
    </xf>
    <xf numFmtId="9" fontId="9" fillId="0" borderId="11" xfId="1" applyFont="1" applyBorder="1" applyAlignment="1">
      <alignment horizontal="center" vertical="center"/>
    </xf>
    <xf numFmtId="0" fontId="9" fillId="0" borderId="5" xfId="0" applyFont="1" applyBorder="1" applyAlignment="1">
      <alignment wrapText="1"/>
    </xf>
    <xf numFmtId="3" fontId="9" fillId="0" borderId="12" xfId="0" applyNumberFormat="1" applyFont="1" applyBorder="1" applyAlignment="1">
      <alignment horizontal="center" vertical="center"/>
    </xf>
    <xf numFmtId="3" fontId="9" fillId="0" borderId="12" xfId="0" applyNumberFormat="1" applyFont="1" applyBorder="1" applyAlignment="1">
      <alignment horizontal="center" vertical="center" wrapText="1"/>
    </xf>
    <xf numFmtId="9" fontId="9" fillId="0" borderId="6" xfId="1" applyFont="1" applyBorder="1" applyAlignment="1">
      <alignment horizontal="center" vertical="center"/>
    </xf>
    <xf numFmtId="0" fontId="9" fillId="0" borderId="12" xfId="0" applyFont="1" applyBorder="1"/>
    <xf numFmtId="0" fontId="9" fillId="4" borderId="0" xfId="0" applyFont="1" applyFill="1" applyAlignment="1">
      <alignment wrapText="1"/>
    </xf>
    <xf numFmtId="0" fontId="7" fillId="0" borderId="14" xfId="0" applyFont="1" applyBorder="1" applyAlignment="1">
      <alignment horizontal="left" indent="2"/>
    </xf>
    <xf numFmtId="0" fontId="9" fillId="2" borderId="2" xfId="0" applyFont="1" applyFill="1" applyBorder="1"/>
    <xf numFmtId="0" fontId="7" fillId="3" borderId="4" xfId="0" applyFont="1" applyFill="1" applyBorder="1"/>
    <xf numFmtId="0" fontId="7" fillId="3" borderId="0" xfId="0" applyFont="1" applyFill="1"/>
    <xf numFmtId="3" fontId="9" fillId="2" borderId="2" xfId="0" applyNumberFormat="1" applyFont="1" applyFill="1" applyBorder="1" applyAlignment="1">
      <alignment horizontal="center" vertical="center"/>
    </xf>
    <xf numFmtId="0" fontId="9" fillId="2" borderId="2" xfId="0" applyFont="1" applyFill="1" applyBorder="1" applyAlignment="1">
      <alignment wrapText="1"/>
    </xf>
    <xf numFmtId="0" fontId="7" fillId="3" borderId="7" xfId="0" applyFont="1" applyFill="1" applyBorder="1" applyAlignment="1">
      <alignment horizontal="center" vertical="center"/>
    </xf>
    <xf numFmtId="164" fontId="9" fillId="20" borderId="10" xfId="0" applyNumberFormat="1" applyFont="1" applyFill="1" applyBorder="1" applyAlignment="1">
      <alignment horizontal="center" vertical="center"/>
    </xf>
    <xf numFmtId="164" fontId="9" fillId="0" borderId="2" xfId="0" applyNumberFormat="1" applyFont="1" applyBorder="1" applyAlignment="1">
      <alignment horizontal="center" vertical="center"/>
    </xf>
    <xf numFmtId="164" fontId="9" fillId="21" borderId="0" xfId="0" applyNumberFormat="1" applyFont="1" applyFill="1" applyAlignment="1">
      <alignment horizontal="center" vertical="center"/>
    </xf>
    <xf numFmtId="164" fontId="9" fillId="21" borderId="12" xfId="0" applyNumberFormat="1" applyFont="1" applyFill="1" applyBorder="1" applyAlignment="1">
      <alignment horizontal="center" vertical="center"/>
    </xf>
    <xf numFmtId="164" fontId="9" fillId="20" borderId="0" xfId="0" applyNumberFormat="1" applyFont="1" applyFill="1" applyAlignment="1">
      <alignment horizontal="center" vertical="center"/>
    </xf>
    <xf numFmtId="164" fontId="9" fillId="20" borderId="12" xfId="0" applyNumberFormat="1" applyFont="1" applyFill="1" applyBorder="1" applyAlignment="1">
      <alignment horizontal="center" vertical="center"/>
    </xf>
    <xf numFmtId="0" fontId="7" fillId="0" borderId="0" xfId="0" applyFont="1" applyAlignment="1">
      <alignment horizontal="left" indent="2"/>
    </xf>
    <xf numFmtId="164" fontId="9" fillId="13" borderId="0" xfId="0" applyNumberFormat="1" applyFont="1" applyFill="1" applyAlignment="1">
      <alignment horizontal="center" vertical="center" wrapText="1"/>
    </xf>
    <xf numFmtId="164" fontId="7" fillId="20" borderId="0" xfId="0" applyNumberFormat="1" applyFont="1" applyFill="1" applyAlignment="1">
      <alignment horizontal="center" vertical="center"/>
    </xf>
    <xf numFmtId="0" fontId="9" fillId="3" borderId="0" xfId="0" applyFont="1" applyFill="1"/>
    <xf numFmtId="0" fontId="9" fillId="3" borderId="0" xfId="0" applyFont="1" applyFill="1" applyAlignment="1">
      <alignment wrapText="1"/>
    </xf>
    <xf numFmtId="0" fontId="9" fillId="0" borderId="1" xfId="0" applyFont="1" applyBorder="1" applyAlignment="1">
      <alignment horizontal="left" vertical="center"/>
    </xf>
    <xf numFmtId="4" fontId="9" fillId="20" borderId="2" xfId="0" applyNumberFormat="1" applyFont="1" applyFill="1" applyBorder="1" applyAlignment="1">
      <alignment horizontal="center" vertical="center"/>
    </xf>
    <xf numFmtId="4" fontId="7" fillId="20" borderId="3" xfId="0" applyNumberFormat="1" applyFont="1" applyFill="1" applyBorder="1" applyAlignment="1">
      <alignment horizontal="center" vertical="center"/>
    </xf>
    <xf numFmtId="4" fontId="9" fillId="21" borderId="2" xfId="0" applyNumberFormat="1" applyFont="1" applyFill="1" applyBorder="1" applyAlignment="1">
      <alignment horizontal="center" vertical="center"/>
    </xf>
    <xf numFmtId="4" fontId="7" fillId="21" borderId="3" xfId="0" applyNumberFormat="1" applyFont="1" applyFill="1" applyBorder="1" applyAlignment="1">
      <alignment horizontal="center" vertical="center"/>
    </xf>
    <xf numFmtId="0" fontId="28" fillId="0" borderId="0" xfId="0" applyFont="1" applyAlignment="1">
      <alignment vertical="center" wrapText="1"/>
    </xf>
    <xf numFmtId="0" fontId="9" fillId="0" borderId="0" xfId="0" applyFont="1" applyAlignment="1">
      <alignment horizontal="left" vertical="center" wrapText="1" indent="1"/>
    </xf>
    <xf numFmtId="0" fontId="28" fillId="0" borderId="0" xfId="0" applyFont="1" applyAlignment="1">
      <alignment horizontal="left" vertical="center" wrapText="1" indent="1"/>
    </xf>
    <xf numFmtId="0" fontId="29" fillId="0" borderId="0" xfId="5" applyFont="1" applyAlignment="1">
      <alignment horizontal="left" vertical="center" wrapText="1" indent="2"/>
    </xf>
    <xf numFmtId="4" fontId="7" fillId="13" borderId="2" xfId="0" applyNumberFormat="1" applyFont="1" applyFill="1" applyBorder="1" applyAlignment="1">
      <alignment horizontal="center" vertical="center" wrapText="1"/>
    </xf>
    <xf numFmtId="4" fontId="9" fillId="13" borderId="2" xfId="0" applyNumberFormat="1" applyFont="1" applyFill="1" applyBorder="1" applyAlignment="1">
      <alignment horizontal="center" vertical="center"/>
    </xf>
    <xf numFmtId="4" fontId="7" fillId="13" borderId="3" xfId="0" applyNumberFormat="1" applyFont="1" applyFill="1" applyBorder="1" applyAlignment="1">
      <alignment horizontal="center" vertical="center"/>
    </xf>
    <xf numFmtId="0" fontId="28" fillId="0" borderId="0" xfId="0" applyFont="1" applyAlignment="1">
      <alignment horizontal="left" vertical="center" wrapText="1" indent="2"/>
    </xf>
    <xf numFmtId="166" fontId="20" fillId="25" borderId="31" xfId="7" applyNumberFormat="1"/>
    <xf numFmtId="166" fontId="20" fillId="25" borderId="48" xfId="7" applyNumberFormat="1" applyBorder="1"/>
    <xf numFmtId="166" fontId="20" fillId="25" borderId="49" xfId="7" applyNumberFormat="1" applyBorder="1"/>
    <xf numFmtId="0" fontId="20" fillId="25" borderId="50" xfId="7" applyBorder="1"/>
    <xf numFmtId="166" fontId="20" fillId="25" borderId="50" xfId="7" applyNumberFormat="1" applyBorder="1"/>
    <xf numFmtId="0" fontId="20" fillId="0" borderId="0" xfId="7" applyFill="1" applyBorder="1"/>
    <xf numFmtId="0" fontId="0" fillId="12" borderId="0" xfId="0" applyFill="1" applyAlignment="1">
      <alignment horizontal="center" vertical="center"/>
    </xf>
    <xf numFmtId="0" fontId="0" fillId="12" borderId="0" xfId="0" applyFill="1"/>
    <xf numFmtId="170" fontId="4" fillId="0" borderId="0" xfId="0" applyNumberFormat="1" applyFont="1"/>
    <xf numFmtId="0" fontId="7" fillId="2" borderId="0" xfId="0" applyFont="1" applyFill="1"/>
    <xf numFmtId="0" fontId="9" fillId="0" borderId="4" xfId="0" applyFont="1" applyBorder="1"/>
    <xf numFmtId="3" fontId="7" fillId="13" borderId="0" xfId="0" applyNumberFormat="1" applyFont="1" applyFill="1" applyAlignment="1">
      <alignment horizontal="center" vertical="center" wrapText="1"/>
    </xf>
    <xf numFmtId="3" fontId="9" fillId="13" borderId="0" xfId="0" applyNumberFormat="1" applyFont="1" applyFill="1" applyAlignment="1">
      <alignment horizontal="center" vertical="center"/>
    </xf>
    <xf numFmtId="3" fontId="7" fillId="13" borderId="0" xfId="0" applyNumberFormat="1" applyFont="1" applyFill="1" applyAlignment="1">
      <alignment horizontal="center" vertical="center"/>
    </xf>
    <xf numFmtId="0" fontId="9" fillId="0" borderId="0" xfId="0" applyFont="1" applyAlignment="1">
      <alignment vertical="center" wrapText="1"/>
    </xf>
    <xf numFmtId="164" fontId="9" fillId="20" borderId="10" xfId="0" applyNumberFormat="1" applyFont="1" applyFill="1" applyBorder="1" applyAlignment="1">
      <alignment horizontal="center" vertical="center" wrapText="1"/>
    </xf>
    <xf numFmtId="164" fontId="7" fillId="20" borderId="10" xfId="0" applyNumberFormat="1" applyFont="1" applyFill="1" applyBorder="1" applyAlignment="1">
      <alignment horizontal="center" vertical="center"/>
    </xf>
    <xf numFmtId="164" fontId="9" fillId="0" borderId="2" xfId="0" applyNumberFormat="1" applyFont="1" applyBorder="1" applyAlignment="1">
      <alignment horizontal="center" vertical="center" wrapText="1"/>
    </xf>
    <xf numFmtId="164" fontId="7" fillId="0" borderId="2" xfId="0" applyNumberFormat="1" applyFont="1" applyBorder="1" applyAlignment="1">
      <alignment horizontal="center" vertical="center"/>
    </xf>
    <xf numFmtId="164" fontId="9" fillId="21" borderId="0" xfId="0" applyNumberFormat="1" applyFont="1" applyFill="1" applyAlignment="1">
      <alignment horizontal="center" vertical="center" wrapText="1"/>
    </xf>
    <xf numFmtId="164" fontId="7" fillId="21" borderId="0" xfId="0" applyNumberFormat="1" applyFont="1" applyFill="1" applyAlignment="1">
      <alignment horizontal="center" vertical="center"/>
    </xf>
    <xf numFmtId="164" fontId="9" fillId="21" borderId="12" xfId="0" applyNumberFormat="1" applyFont="1" applyFill="1" applyBorder="1" applyAlignment="1">
      <alignment horizontal="center" vertical="center" wrapText="1"/>
    </xf>
    <xf numFmtId="164" fontId="7" fillId="21" borderId="12" xfId="0" applyNumberFormat="1" applyFont="1" applyFill="1" applyBorder="1" applyAlignment="1">
      <alignment horizontal="center" vertical="center"/>
    </xf>
    <xf numFmtId="164" fontId="7" fillId="20" borderId="12" xfId="0" applyNumberFormat="1" applyFont="1" applyFill="1" applyBorder="1" applyAlignment="1">
      <alignment horizontal="center" vertical="center"/>
    </xf>
    <xf numFmtId="0" fontId="30" fillId="4" borderId="0" xfId="0" applyFont="1" applyFill="1"/>
    <xf numFmtId="3" fontId="7" fillId="0" borderId="0" xfId="0" applyNumberFormat="1" applyFont="1" applyAlignment="1">
      <alignment horizontal="center" vertical="center" wrapText="1"/>
    </xf>
    <xf numFmtId="3" fontId="9" fillId="0" borderId="0" xfId="0" applyNumberFormat="1" applyFont="1" applyAlignment="1">
      <alignment horizontal="center" vertical="center"/>
    </xf>
    <xf numFmtId="3" fontId="9" fillId="0" borderId="0" xfId="0" applyNumberFormat="1" applyFont="1" applyAlignment="1">
      <alignment horizontal="center" vertical="center" wrapText="1"/>
    </xf>
    <xf numFmtId="3" fontId="7" fillId="0" borderId="0" xfId="0" applyNumberFormat="1" applyFont="1" applyAlignment="1">
      <alignment horizontal="center" vertical="center"/>
    </xf>
    <xf numFmtId="0" fontId="17" fillId="18" borderId="15" xfId="0" applyFont="1" applyFill="1" applyBorder="1" applyAlignment="1">
      <alignment horizontal="left" indent="2"/>
    </xf>
    <xf numFmtId="0" fontId="0" fillId="18" borderId="15" xfId="0" applyFill="1" applyBorder="1"/>
    <xf numFmtId="0" fontId="17" fillId="18" borderId="15" xfId="0" applyFont="1" applyFill="1" applyBorder="1"/>
    <xf numFmtId="0" fontId="17" fillId="0" borderId="15" xfId="0" applyFont="1" applyBorder="1" applyAlignment="1">
      <alignment horizontal="left"/>
    </xf>
    <xf numFmtId="0" fontId="17" fillId="0" borderId="15" xfId="0" applyFont="1" applyBorder="1" applyAlignment="1">
      <alignment horizontal="left" indent="2"/>
    </xf>
    <xf numFmtId="0" fontId="0" fillId="0" borderId="15" xfId="0" applyBorder="1" applyAlignment="1">
      <alignment horizontal="left"/>
    </xf>
    <xf numFmtId="0" fontId="0" fillId="18" borderId="15" xfId="0" applyFill="1" applyBorder="1" applyAlignment="1">
      <alignment horizontal="center"/>
    </xf>
    <xf numFmtId="0" fontId="0" fillId="18" borderId="15" xfId="0" applyFill="1" applyBorder="1" applyAlignment="1">
      <alignment wrapText="1"/>
    </xf>
    <xf numFmtId="0" fontId="17" fillId="18" borderId="1" xfId="0" applyFont="1" applyFill="1" applyBorder="1" applyAlignment="1">
      <alignment horizontal="center"/>
    </xf>
    <xf numFmtId="0" fontId="17" fillId="18" borderId="2" xfId="0" applyFont="1" applyFill="1" applyBorder="1" applyAlignment="1">
      <alignment horizontal="center"/>
    </xf>
    <xf numFmtId="0" fontId="17" fillId="18" borderId="3" xfId="0" applyFont="1" applyFill="1" applyBorder="1" applyAlignment="1">
      <alignment horizont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3" fillId="29" borderId="1" xfId="5" quotePrefix="1" applyFill="1" applyBorder="1" applyAlignment="1">
      <alignment horizontal="center"/>
    </xf>
    <xf numFmtId="0" fontId="13" fillId="29" borderId="2" xfId="5" applyFill="1" applyBorder="1" applyAlignment="1">
      <alignment horizontal="center"/>
    </xf>
    <xf numFmtId="0" fontId="13" fillId="29" borderId="3" xfId="5" applyFill="1" applyBorder="1" applyAlignment="1">
      <alignment horizontal="center"/>
    </xf>
    <xf numFmtId="0" fontId="31" fillId="3" borderId="1" xfId="5" applyFont="1" applyFill="1" applyBorder="1" applyAlignment="1">
      <alignment horizontal="center"/>
    </xf>
    <xf numFmtId="0" fontId="31" fillId="3" borderId="2" xfId="5" applyFont="1" applyFill="1" applyBorder="1" applyAlignment="1">
      <alignment horizontal="center"/>
    </xf>
    <xf numFmtId="0" fontId="31" fillId="3" borderId="3" xfId="5" applyFont="1" applyFill="1" applyBorder="1" applyAlignment="1">
      <alignment horizontal="center"/>
    </xf>
    <xf numFmtId="0" fontId="13" fillId="19" borderId="15" xfId="5" applyFill="1" applyBorder="1" applyAlignment="1">
      <alignment horizontal="center"/>
    </xf>
    <xf numFmtId="0" fontId="13" fillId="29" borderId="15" xfId="5" applyFill="1" applyBorder="1" applyAlignment="1">
      <alignment horizontal="center" vertical="center"/>
    </xf>
    <xf numFmtId="0" fontId="0" fillId="29" borderId="15" xfId="0" applyFill="1" applyBorder="1" applyAlignment="1">
      <alignment horizontal="center"/>
    </xf>
    <xf numFmtId="0" fontId="13" fillId="2" borderId="15" xfId="5" applyFill="1" applyBorder="1" applyAlignment="1">
      <alignment horizontal="center"/>
    </xf>
    <xf numFmtId="0" fontId="9" fillId="0" borderId="15" xfId="0" applyFont="1" applyBorder="1" applyAlignment="1">
      <alignment horizontal="left" vertical="center" wrapText="1"/>
    </xf>
    <xf numFmtId="0" fontId="9" fillId="0" borderId="13" xfId="0" applyFont="1" applyBorder="1" applyAlignment="1">
      <alignment horizontal="left" vertical="center" wrapText="1"/>
    </xf>
    <xf numFmtId="0" fontId="9" fillId="0" borderId="8" xfId="0" applyFont="1" applyBorder="1" applyAlignment="1">
      <alignment horizontal="left" vertical="center" wrapText="1"/>
    </xf>
    <xf numFmtId="0" fontId="23" fillId="0" borderId="0" xfId="0" applyFont="1"/>
    <xf numFmtId="0" fontId="4" fillId="0" borderId="13" xfId="0" applyFont="1" applyBorder="1" applyAlignment="1">
      <alignment horizontal="center" vertical="center"/>
    </xf>
    <xf numFmtId="0" fontId="4" fillId="0" borderId="8" xfId="0" applyFont="1" applyBorder="1" applyAlignment="1">
      <alignment horizontal="center" vertical="center"/>
    </xf>
    <xf numFmtId="0" fontId="4" fillId="0" borderId="13" xfId="0" applyFont="1" applyBorder="1" applyAlignment="1">
      <alignment vertical="center"/>
    </xf>
    <xf numFmtId="0" fontId="4" fillId="0" borderId="8" xfId="0" applyFont="1" applyBorder="1" applyAlignment="1">
      <alignment vertical="center"/>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13" xfId="0" applyBorder="1" applyAlignment="1">
      <alignment horizontal="center" wrapText="1"/>
    </xf>
    <xf numFmtId="0" fontId="0" fillId="0" borderId="8" xfId="0" applyBorder="1" applyAlignment="1">
      <alignment horizontal="center" wrapText="1"/>
    </xf>
    <xf numFmtId="0" fontId="7" fillId="11" borderId="1" xfId="0" applyFont="1" applyFill="1" applyBorder="1" applyAlignment="1">
      <alignment horizontal="center" wrapText="1"/>
    </xf>
    <xf numFmtId="0" fontId="7" fillId="11" borderId="3" xfId="0" applyFont="1" applyFill="1" applyBorder="1" applyAlignment="1">
      <alignment horizontal="center" wrapText="1"/>
    </xf>
    <xf numFmtId="0" fontId="7" fillId="0" borderId="1" xfId="0" applyFont="1" applyBorder="1" applyAlignment="1">
      <alignment horizontal="center" wrapText="1"/>
    </xf>
    <xf numFmtId="0" fontId="7" fillId="0" borderId="3" xfId="0" applyFont="1" applyBorder="1" applyAlignment="1">
      <alignment horizontal="center" wrapText="1"/>
    </xf>
    <xf numFmtId="0" fontId="5" fillId="0" borderId="13" xfId="0" applyFont="1" applyBorder="1" applyAlignment="1">
      <alignment horizontal="center" wrapText="1"/>
    </xf>
    <xf numFmtId="0" fontId="5" fillId="0" borderId="8" xfId="0"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5" fillId="0" borderId="1" xfId="0" applyFont="1" applyBorder="1" applyAlignment="1">
      <alignment horizontal="center" wrapText="1"/>
    </xf>
    <xf numFmtId="0" fontId="5" fillId="0" borderId="3" xfId="0" applyFont="1" applyBorder="1" applyAlignment="1">
      <alignment horizontal="center" wrapText="1"/>
    </xf>
    <xf numFmtId="0" fontId="4" fillId="26" borderId="0" xfId="0" applyFont="1" applyFill="1" applyAlignment="1">
      <alignment horizontal="center"/>
    </xf>
    <xf numFmtId="0" fontId="4" fillId="0" borderId="15" xfId="0" applyFont="1" applyBorder="1" applyAlignment="1">
      <alignment horizontal="left" vertical="center" wrapText="1"/>
    </xf>
    <xf numFmtId="0" fontId="4" fillId="0" borderId="15" xfId="0" applyFont="1" applyBorder="1" applyAlignment="1">
      <alignment horizontal="left" vertical="center"/>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left" vertical="center"/>
    </xf>
    <xf numFmtId="0" fontId="4" fillId="0" borderId="8" xfId="0" applyFont="1" applyBorder="1" applyAlignment="1">
      <alignment horizontal="left" vertical="center"/>
    </xf>
  </cellXfs>
  <cellStyles count="8">
    <cellStyle name="Comma 2" xfId="3" xr:uid="{E373C754-5751-4141-B718-AE0CFFE2ABD9}"/>
    <cellStyle name="Hyperlink" xfId="5" builtinId="8"/>
    <cellStyle name="Input" xfId="6" builtinId="20"/>
    <cellStyle name="Normal" xfId="0" builtinId="0"/>
    <cellStyle name="Normal 2" xfId="2" xr:uid="{DF0275ED-5F63-47BD-8133-D74160AB903F}"/>
    <cellStyle name="Output" xfId="7" builtinId="21"/>
    <cellStyle name="Percent" xfId="1" builtinId="5"/>
    <cellStyle name="Percent 2" xfId="4" xr:uid="{0FE9E3FF-8234-4E02-B080-51B1B30132F8}"/>
  </cellStyles>
  <dxfs count="4">
    <dxf>
      <numFmt numFmtId="170" formatCode="0.0"/>
    </dxf>
    <dxf>
      <numFmt numFmtId="170" formatCode="0.0"/>
    </dxf>
    <dxf>
      <numFmt numFmtId="170" formatCode="0.0"/>
    </dxf>
    <dxf>
      <numFmt numFmtId="170" formatCode="0.0"/>
    </dxf>
  </dxfs>
  <tableStyles count="0" defaultTableStyle="TableStyleMedium2" defaultPivotStyle="PivotStyleLight16"/>
  <colors>
    <mruColors>
      <color rgb="FFFFF4D4"/>
      <color rgb="FF30F298"/>
      <color rgb="FFFF99FF"/>
      <color rgb="FF00FFCC"/>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sharedStrings" Target="sharedStrings.xml"/><Relationship Id="rId21" Type="http://schemas.openxmlformats.org/officeDocument/2006/relationships/externalLink" Target="externalLinks/externalLink7.xml"/><Relationship Id="rId34" Type="http://schemas.openxmlformats.org/officeDocument/2006/relationships/pivotCacheDefinition" Target="pivotCache/pivotCacheDefinition5.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pivotCacheDefinition" Target="pivotCache/pivotCacheDefinition3.xml"/><Relationship Id="rId37" Type="http://schemas.openxmlformats.org/officeDocument/2006/relationships/connections" Target="connections.xml"/><Relationship Id="rId40"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pivotCacheDefinition" Target="pivotCache/pivotCacheDefinition2.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pivotCacheDefinition" Target="pivotCache/pivotCacheDefinition1.xml"/><Relationship Id="rId35" Type="http://schemas.openxmlformats.org/officeDocument/2006/relationships/pivotTable" Target="pivotTables/pivotTable1.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pivotCacheDefinition" Target="pivotCache/pivotCacheDefinition4.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[HSEO Lifecyle GHG CI Weighted Analysis - Alternative Fuels.xlsx]Adjustable_HeatRate_CI!PivotTable1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9966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Adjustable_HeatRate_CI!$J$12:$J$13</c:f>
              <c:strCache>
                <c:ptCount val="1"/>
                <c:pt idx="0">
                  <c:v>Fuel - Combustion</c:v>
                </c:pt>
              </c:strCache>
            </c:strRef>
          </c:tx>
          <c:spPr>
            <a:solidFill>
              <a:schemeClr val="accent1"/>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Adjustable_HeatRate_CI!$J$14:$J$19</c:f>
              <c:numCache>
                <c:formatCode>General</c:formatCode>
                <c:ptCount val="4"/>
                <c:pt idx="0">
                  <c:v>924.18134304684554</c:v>
                </c:pt>
                <c:pt idx="1">
                  <c:v>922.76492432119244</c:v>
                </c:pt>
                <c:pt idx="2">
                  <c:v>466.98081745832661</c:v>
                </c:pt>
                <c:pt idx="3">
                  <c:v>466.41556529117156</c:v>
                </c:pt>
              </c:numCache>
            </c:numRef>
          </c:val>
          <c:extLst>
            <c:ext xmlns:c16="http://schemas.microsoft.com/office/drawing/2014/chart" uri="{C3380CC4-5D6E-409C-BE32-E72D297353CC}">
              <c16:uniqueId val="{00000000-7B7C-4442-888A-85023EA27DC3}"/>
            </c:ext>
          </c:extLst>
        </c:ser>
        <c:ser>
          <c:idx val="1"/>
          <c:order val="1"/>
          <c:tx>
            <c:strRef>
              <c:f>Adjustable_HeatRate_CI!$K$12:$K$13</c:f>
              <c:strCache>
                <c:ptCount val="1"/>
                <c:pt idx="0">
                  <c:v>Gasified  NG T&amp;D to Power Plant</c:v>
                </c:pt>
              </c:strCache>
            </c:strRef>
          </c:tx>
          <c:spPr>
            <a:solidFill>
              <a:schemeClr val="accent2"/>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Adjustable_HeatRate_CI!$K$14:$K$19</c:f>
              <c:numCache>
                <c:formatCode>General</c:formatCode>
                <c:ptCount val="4"/>
                <c:pt idx="2">
                  <c:v>5.3548314678274505</c:v>
                </c:pt>
                <c:pt idx="3">
                  <c:v>2.8351062533585338</c:v>
                </c:pt>
              </c:numCache>
            </c:numRef>
          </c:val>
          <c:extLst>
            <c:ext xmlns:c16="http://schemas.microsoft.com/office/drawing/2014/chart" uri="{C3380CC4-5D6E-409C-BE32-E72D297353CC}">
              <c16:uniqueId val="{00000000-65B6-4502-AB98-58742D176C61}"/>
            </c:ext>
          </c:extLst>
        </c:ser>
        <c:ser>
          <c:idx val="2"/>
          <c:order val="2"/>
          <c:tx>
            <c:strRef>
              <c:f>Adjustable_HeatRate_CI!$L$12:$L$13</c:f>
              <c:strCache>
                <c:ptCount val="1"/>
                <c:pt idx="0">
                  <c:v>Liquefaction</c:v>
                </c:pt>
              </c:strCache>
            </c:strRef>
          </c:tx>
          <c:spPr>
            <a:solidFill>
              <a:schemeClr val="accent3"/>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Adjustable_HeatRate_CI!$L$14:$L$19</c:f>
              <c:numCache>
                <c:formatCode>General</c:formatCode>
                <c:ptCount val="4"/>
                <c:pt idx="2">
                  <c:v>75.193041129795844</c:v>
                </c:pt>
                <c:pt idx="3">
                  <c:v>59.581301152625961</c:v>
                </c:pt>
              </c:numCache>
            </c:numRef>
          </c:val>
          <c:extLst>
            <c:ext xmlns:c16="http://schemas.microsoft.com/office/drawing/2014/chart" uri="{C3380CC4-5D6E-409C-BE32-E72D297353CC}">
              <c16:uniqueId val="{00000001-65B6-4502-AB98-58742D176C61}"/>
            </c:ext>
          </c:extLst>
        </c:ser>
        <c:ser>
          <c:idx val="3"/>
          <c:order val="3"/>
          <c:tx>
            <c:strRef>
              <c:f>Adjustable_HeatRate_CI!$M$12:$M$13</c:f>
              <c:strCache>
                <c:ptCount val="1"/>
                <c:pt idx="0">
                  <c:v>LNG Regasification</c:v>
                </c:pt>
              </c:strCache>
            </c:strRef>
          </c:tx>
          <c:spPr>
            <a:solidFill>
              <a:schemeClr val="accent4"/>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Adjustable_HeatRate_CI!$M$14:$M$19</c:f>
              <c:numCache>
                <c:formatCode>General</c:formatCode>
                <c:ptCount val="4"/>
                <c:pt idx="2">
                  <c:v>18.902627755297981</c:v>
                </c:pt>
                <c:pt idx="3">
                  <c:v>9.6612618438956943</c:v>
                </c:pt>
              </c:numCache>
            </c:numRef>
          </c:val>
          <c:extLst>
            <c:ext xmlns:c16="http://schemas.microsoft.com/office/drawing/2014/chart" uri="{C3380CC4-5D6E-409C-BE32-E72D297353CC}">
              <c16:uniqueId val="{00000002-65B6-4502-AB98-58742D176C61}"/>
            </c:ext>
          </c:extLst>
        </c:ser>
        <c:ser>
          <c:idx val="4"/>
          <c:order val="4"/>
          <c:tx>
            <c:strRef>
              <c:f>Adjustable_HeatRate_CI!$N$12:$N$13</c:f>
              <c:strCache>
                <c:ptCount val="1"/>
                <c:pt idx="0">
                  <c:v>LNG Storage</c:v>
                </c:pt>
              </c:strCache>
            </c:strRef>
          </c:tx>
          <c:spPr>
            <a:solidFill>
              <a:schemeClr val="accent5"/>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Adjustable_HeatRate_CI!$N$14:$N$19</c:f>
              <c:numCache>
                <c:formatCode>General</c:formatCode>
                <c:ptCount val="4"/>
                <c:pt idx="2">
                  <c:v>14.121660284733835</c:v>
                </c:pt>
                <c:pt idx="3">
                  <c:v>5.1009148664856756</c:v>
                </c:pt>
              </c:numCache>
            </c:numRef>
          </c:val>
          <c:extLst>
            <c:ext xmlns:c16="http://schemas.microsoft.com/office/drawing/2014/chart" uri="{C3380CC4-5D6E-409C-BE32-E72D297353CC}">
              <c16:uniqueId val="{00000003-65B6-4502-AB98-58742D176C61}"/>
            </c:ext>
          </c:extLst>
        </c:ser>
        <c:ser>
          <c:idx val="5"/>
          <c:order val="5"/>
          <c:tx>
            <c:strRef>
              <c:f>Adjustable_HeatRate_CI!$O$12:$O$13</c:f>
              <c:strCache>
                <c:ptCount val="1"/>
                <c:pt idx="0">
                  <c:v>LNG T&amp;D</c:v>
                </c:pt>
              </c:strCache>
            </c:strRef>
          </c:tx>
          <c:spPr>
            <a:solidFill>
              <a:schemeClr val="accent6"/>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Adjustable_HeatRate_CI!$O$14:$O$19</c:f>
              <c:numCache>
                <c:formatCode>General</c:formatCode>
                <c:ptCount val="4"/>
                <c:pt idx="2">
                  <c:v>35.285211388953762</c:v>
                </c:pt>
                <c:pt idx="3">
                  <c:v>17.252183165282986</c:v>
                </c:pt>
              </c:numCache>
            </c:numRef>
          </c:val>
          <c:extLst>
            <c:ext xmlns:c16="http://schemas.microsoft.com/office/drawing/2014/chart" uri="{C3380CC4-5D6E-409C-BE32-E72D297353CC}">
              <c16:uniqueId val="{00000004-65B6-4502-AB98-58742D176C61}"/>
            </c:ext>
          </c:extLst>
        </c:ser>
        <c:ser>
          <c:idx val="6"/>
          <c:order val="6"/>
          <c:tx>
            <c:strRef>
              <c:f>Adjustable_HeatRate_CI!$P$12:$P$13</c:f>
              <c:strCache>
                <c:ptCount val="1"/>
                <c:pt idx="0">
                  <c:v>Refinery - Residual Oil</c:v>
                </c:pt>
              </c:strCache>
            </c:strRef>
          </c:tx>
          <c:spPr>
            <a:solidFill>
              <a:schemeClr val="accent1">
                <a:lumMod val="60000"/>
              </a:schemeClr>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Adjustable_HeatRate_CI!$P$14:$P$19</c:f>
              <c:numCache>
                <c:formatCode>General</c:formatCode>
                <c:ptCount val="4"/>
                <c:pt idx="0">
                  <c:v>68.722586879044997</c:v>
                </c:pt>
                <c:pt idx="1">
                  <c:v>64.515438882902444</c:v>
                </c:pt>
              </c:numCache>
            </c:numRef>
          </c:val>
          <c:extLst>
            <c:ext xmlns:c16="http://schemas.microsoft.com/office/drawing/2014/chart" uri="{C3380CC4-5D6E-409C-BE32-E72D297353CC}">
              <c16:uniqueId val="{00000005-65B6-4502-AB98-58742D176C61}"/>
            </c:ext>
          </c:extLst>
        </c:ser>
        <c:ser>
          <c:idx val="7"/>
          <c:order val="7"/>
          <c:tx>
            <c:strRef>
              <c:f>Adjustable_HeatRate_CI!$Q$12:$Q$13</c:f>
              <c:strCache>
                <c:ptCount val="1"/>
                <c:pt idx="0">
                  <c:v>Transport - Crude</c:v>
                </c:pt>
              </c:strCache>
            </c:strRef>
          </c:tx>
          <c:spPr>
            <a:solidFill>
              <a:schemeClr val="accent2">
                <a:lumMod val="60000"/>
              </a:schemeClr>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Adjustable_HeatRate_CI!$Q$14:$Q$19</c:f>
              <c:numCache>
                <c:formatCode>General</c:formatCode>
                <c:ptCount val="4"/>
                <c:pt idx="0">
                  <c:v>23.623489480399179</c:v>
                </c:pt>
                <c:pt idx="1">
                  <c:v>22.604229149384697</c:v>
                </c:pt>
              </c:numCache>
            </c:numRef>
          </c:val>
          <c:extLst>
            <c:ext xmlns:c16="http://schemas.microsoft.com/office/drawing/2014/chart" uri="{C3380CC4-5D6E-409C-BE32-E72D297353CC}">
              <c16:uniqueId val="{00000006-65B6-4502-AB98-58742D176C61}"/>
            </c:ext>
          </c:extLst>
        </c:ser>
        <c:ser>
          <c:idx val="8"/>
          <c:order val="8"/>
          <c:tx>
            <c:strRef>
              <c:f>Adjustable_HeatRate_CI!$R$12:$R$13</c:f>
              <c:strCache>
                <c:ptCount val="1"/>
                <c:pt idx="0">
                  <c:v>Upstream - Crude Production</c:v>
                </c:pt>
              </c:strCache>
            </c:strRef>
          </c:tx>
          <c:spPr>
            <a:solidFill>
              <a:schemeClr val="accent3">
                <a:lumMod val="60000"/>
              </a:schemeClr>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Adjustable_HeatRate_CI!$R$14:$R$19</c:f>
              <c:numCache>
                <c:formatCode>General</c:formatCode>
                <c:ptCount val="4"/>
                <c:pt idx="0">
                  <c:v>207.71334528049789</c:v>
                </c:pt>
                <c:pt idx="1">
                  <c:v>127.16282311946978</c:v>
                </c:pt>
              </c:numCache>
            </c:numRef>
          </c:val>
          <c:extLst>
            <c:ext xmlns:c16="http://schemas.microsoft.com/office/drawing/2014/chart" uri="{C3380CC4-5D6E-409C-BE32-E72D297353CC}">
              <c16:uniqueId val="{00000007-65B6-4502-AB98-58742D176C61}"/>
            </c:ext>
          </c:extLst>
        </c:ser>
        <c:ser>
          <c:idx val="9"/>
          <c:order val="9"/>
          <c:tx>
            <c:strRef>
              <c:f>Adjustable_HeatRate_CI!$S$12:$S$13</c:f>
              <c:strCache>
                <c:ptCount val="1"/>
                <c:pt idx="0">
                  <c:v>Upstream+ Midstream - NG Production</c:v>
                </c:pt>
              </c:strCache>
            </c:strRef>
          </c:tx>
          <c:spPr>
            <a:solidFill>
              <a:srgbClr val="FFC000"/>
            </a:solidFill>
            <a:ln>
              <a:noFill/>
            </a:ln>
            <a:effectLst/>
          </c:spPr>
          <c:invertIfNegative val="0"/>
          <c:cat>
            <c:multiLvlStrRef>
              <c:f>Adjustable_HeatRate_CI!$I$14:$I$19</c:f>
              <c:multiLvlStrCache>
                <c:ptCount val="4"/>
                <c:lvl>
                  <c:pt idx="0">
                    <c:v>20</c:v>
                  </c:pt>
                  <c:pt idx="1">
                    <c:v>100</c:v>
                  </c:pt>
                  <c:pt idx="2">
                    <c:v>20</c:v>
                  </c:pt>
                  <c:pt idx="3">
                    <c:v>100</c:v>
                  </c:pt>
                </c:lvl>
                <c:lvl>
                  <c:pt idx="0">
                    <c:v>Crude</c:v>
                  </c:pt>
                  <c:pt idx="2">
                    <c:v>LNG</c:v>
                  </c:pt>
                </c:lvl>
              </c:multiLvlStrCache>
            </c:multiLvlStrRef>
          </c:cat>
          <c:val>
            <c:numRef>
              <c:f>Adjustable_HeatRate_CI!$S$14:$S$19</c:f>
              <c:numCache>
                <c:formatCode>General</c:formatCode>
                <c:ptCount val="4"/>
                <c:pt idx="2">
                  <c:v>137.65076784878437</c:v>
                </c:pt>
                <c:pt idx="3">
                  <c:v>73.183790144827356</c:v>
                </c:pt>
              </c:numCache>
            </c:numRef>
          </c:val>
          <c:extLst>
            <c:ext xmlns:c16="http://schemas.microsoft.com/office/drawing/2014/chart" uri="{C3380CC4-5D6E-409C-BE32-E72D297353CC}">
              <c16:uniqueId val="{00000008-65B6-4502-AB98-58742D176C61}"/>
            </c:ext>
          </c:extLst>
        </c:ser>
        <c:dLbls>
          <c:showLegendKey val="0"/>
          <c:showVal val="0"/>
          <c:showCatName val="0"/>
          <c:showSerName val="0"/>
          <c:showPercent val="0"/>
          <c:showBubbleSize val="0"/>
        </c:dLbls>
        <c:gapWidth val="150"/>
        <c:overlap val="100"/>
        <c:axId val="1748348488"/>
        <c:axId val="1748351368"/>
      </c:barChart>
      <c:catAx>
        <c:axId val="17483484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GWP</a:t>
                </a:r>
                <a:r>
                  <a:rPr lang="en-US" baseline="0"/>
                  <a:t> and Fuel Type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8351368"/>
        <c:crosses val="autoZero"/>
        <c:auto val="1"/>
        <c:lblAlgn val="ctr"/>
        <c:lblOffset val="100"/>
        <c:noMultiLvlLbl val="0"/>
      </c:catAx>
      <c:valAx>
        <c:axId val="1748351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Weighted</a:t>
                </a:r>
                <a:r>
                  <a:rPr lang="en-US" baseline="0"/>
                  <a:t> Average Carbon Intensity (kg CO2e / kWh)</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8348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Fuel - Combustion</c:v>
          </c:tx>
          <c:spPr>
            <a:solidFill>
              <a:schemeClr val="accent1"/>
            </a:solidFill>
            <a:ln>
              <a:noFill/>
            </a:ln>
            <a:effectLst/>
          </c:spPr>
          <c:invertIfNegative val="0"/>
          <c:cat>
            <c:strLit>
              <c:ptCount val="4"/>
              <c:pt idx="0">
                <c:v>Crude
20</c:v>
              </c:pt>
              <c:pt idx="1">
                <c:v>LNG
20</c:v>
              </c:pt>
              <c:pt idx="2">
                <c:v>Crude
100</c:v>
              </c:pt>
              <c:pt idx="3">
                <c:v>LNG
100</c:v>
              </c:pt>
            </c:strLit>
          </c:cat>
          <c:val>
            <c:numLit>
              <c:formatCode>General</c:formatCode>
              <c:ptCount val="4"/>
              <c:pt idx="0">
                <c:v>82.760633197567884</c:v>
              </c:pt>
              <c:pt idx="1">
                <c:v>59.555374269223613</c:v>
              </c:pt>
              <c:pt idx="2">
                <c:v>82.633792603468166</c:v>
              </c:pt>
              <c:pt idx="3">
                <c:v>59.483286073921214</c:v>
              </c:pt>
            </c:numLit>
          </c:val>
          <c:extLst>
            <c:ext xmlns:c16="http://schemas.microsoft.com/office/drawing/2014/chart" uri="{C3380CC4-5D6E-409C-BE32-E72D297353CC}">
              <c16:uniqueId val="{00000002-474E-4583-9C39-418CA4AA4880}"/>
            </c:ext>
          </c:extLst>
        </c:ser>
        <c:ser>
          <c:idx val="1"/>
          <c:order val="1"/>
          <c:tx>
            <c:v>Gasified  NG T&amp;D to Power Plant</c:v>
          </c:tx>
          <c:spPr>
            <a:solidFill>
              <a:schemeClr val="accent2"/>
            </a:solidFill>
            <a:ln>
              <a:noFill/>
            </a:ln>
            <a:effectLst/>
          </c:spPr>
          <c:invertIfNegative val="0"/>
          <c:cat>
            <c:strLit>
              <c:ptCount val="4"/>
              <c:pt idx="0">
                <c:v>Crude
20</c:v>
              </c:pt>
              <c:pt idx="1">
                <c:v>LNG
20</c:v>
              </c:pt>
              <c:pt idx="2">
                <c:v>Crude
100</c:v>
              </c:pt>
              <c:pt idx="3">
                <c:v>LNG
100</c:v>
              </c:pt>
            </c:strLit>
          </c:cat>
          <c:val>
            <c:numLit>
              <c:formatCode>General</c:formatCode>
              <c:ptCount val="4"/>
              <c:pt idx="1">
                <c:v>0.68291668585196075</c:v>
              </c:pt>
              <c:pt idx="3">
                <c:v>0.36156905744174728</c:v>
              </c:pt>
            </c:numLit>
          </c:val>
          <c:extLst>
            <c:ext xmlns:c16="http://schemas.microsoft.com/office/drawing/2014/chart" uri="{C3380CC4-5D6E-409C-BE32-E72D297353CC}">
              <c16:uniqueId val="{00000003-474E-4583-9C39-418CA4AA4880}"/>
            </c:ext>
          </c:extLst>
        </c:ser>
        <c:ser>
          <c:idx val="2"/>
          <c:order val="2"/>
          <c:tx>
            <c:v>Liquefaction</c:v>
          </c:tx>
          <c:spPr>
            <a:solidFill>
              <a:schemeClr val="accent3"/>
            </a:solidFill>
            <a:ln>
              <a:noFill/>
            </a:ln>
            <a:effectLst/>
          </c:spPr>
          <c:invertIfNegative val="0"/>
          <c:cat>
            <c:strLit>
              <c:ptCount val="4"/>
              <c:pt idx="0">
                <c:v>Crude
20</c:v>
              </c:pt>
              <c:pt idx="1">
                <c:v>LNG
20</c:v>
              </c:pt>
              <c:pt idx="2">
                <c:v>Crude
100</c:v>
              </c:pt>
              <c:pt idx="3">
                <c:v>LNG
100</c:v>
              </c:pt>
            </c:strLit>
          </c:cat>
          <c:val>
            <c:numLit>
              <c:formatCode>General</c:formatCode>
              <c:ptCount val="4"/>
              <c:pt idx="1">
                <c:v>9.5895795705264639</c:v>
              </c:pt>
              <c:pt idx="3">
                <c:v>7.5985705556494763</c:v>
              </c:pt>
            </c:numLit>
          </c:val>
          <c:extLst>
            <c:ext xmlns:c16="http://schemas.microsoft.com/office/drawing/2014/chart" uri="{C3380CC4-5D6E-409C-BE32-E72D297353CC}">
              <c16:uniqueId val="{00000004-474E-4583-9C39-418CA4AA4880}"/>
            </c:ext>
          </c:extLst>
        </c:ser>
        <c:ser>
          <c:idx val="3"/>
          <c:order val="3"/>
          <c:tx>
            <c:v>LNG Regasification</c:v>
          </c:tx>
          <c:spPr>
            <a:solidFill>
              <a:schemeClr val="accent4"/>
            </a:solidFill>
            <a:ln>
              <a:noFill/>
            </a:ln>
            <a:effectLst/>
          </c:spPr>
          <c:invertIfNegative val="0"/>
          <c:cat>
            <c:strLit>
              <c:ptCount val="4"/>
              <c:pt idx="0">
                <c:v>Crude
20</c:v>
              </c:pt>
              <c:pt idx="1">
                <c:v>LNG
20</c:v>
              </c:pt>
              <c:pt idx="2">
                <c:v>Crude
100</c:v>
              </c:pt>
              <c:pt idx="3">
                <c:v>LNG
100</c:v>
              </c:pt>
            </c:strLit>
          </c:cat>
          <c:val>
            <c:numLit>
              <c:formatCode>General</c:formatCode>
              <c:ptCount val="4"/>
              <c:pt idx="1">
                <c:v>2.4107051693596553</c:v>
              </c:pt>
              <c:pt idx="3">
                <c:v>1.2321278380509162</c:v>
              </c:pt>
            </c:numLit>
          </c:val>
          <c:extLst>
            <c:ext xmlns:c16="http://schemas.microsoft.com/office/drawing/2014/chart" uri="{C3380CC4-5D6E-409C-BE32-E72D297353CC}">
              <c16:uniqueId val="{00000005-474E-4583-9C39-418CA4AA4880}"/>
            </c:ext>
          </c:extLst>
        </c:ser>
        <c:ser>
          <c:idx val="4"/>
          <c:order val="4"/>
          <c:tx>
            <c:v>LNG Storage</c:v>
          </c:tx>
          <c:spPr>
            <a:solidFill>
              <a:schemeClr val="accent5"/>
            </a:solidFill>
            <a:ln>
              <a:noFill/>
            </a:ln>
            <a:effectLst/>
          </c:spPr>
          <c:invertIfNegative val="0"/>
          <c:cat>
            <c:strLit>
              <c:ptCount val="4"/>
              <c:pt idx="0">
                <c:v>Crude
20</c:v>
              </c:pt>
              <c:pt idx="1">
                <c:v>LNG
20</c:v>
              </c:pt>
              <c:pt idx="2">
                <c:v>Crude
100</c:v>
              </c:pt>
              <c:pt idx="3">
                <c:v>LNG
100</c:v>
              </c:pt>
            </c:strLit>
          </c:cat>
          <c:val>
            <c:numLit>
              <c:formatCode>General</c:formatCode>
              <c:ptCount val="4"/>
              <c:pt idx="1">
                <c:v>1.8009749696735824</c:v>
              </c:pt>
              <c:pt idx="3">
                <c:v>0.65053398904573045</c:v>
              </c:pt>
            </c:numLit>
          </c:val>
          <c:extLst>
            <c:ext xmlns:c16="http://schemas.microsoft.com/office/drawing/2014/chart" uri="{C3380CC4-5D6E-409C-BE32-E72D297353CC}">
              <c16:uniqueId val="{00000006-474E-4583-9C39-418CA4AA4880}"/>
            </c:ext>
          </c:extLst>
        </c:ser>
        <c:ser>
          <c:idx val="5"/>
          <c:order val="5"/>
          <c:tx>
            <c:v>LNG T&amp;D</c:v>
          </c:tx>
          <c:spPr>
            <a:solidFill>
              <a:schemeClr val="accent6"/>
            </a:solidFill>
            <a:ln>
              <a:noFill/>
            </a:ln>
            <a:effectLst/>
          </c:spPr>
          <c:invertIfNegative val="0"/>
          <c:cat>
            <c:strLit>
              <c:ptCount val="4"/>
              <c:pt idx="0">
                <c:v>Crude
20</c:v>
              </c:pt>
              <c:pt idx="1">
                <c:v>LNG
20</c:v>
              </c:pt>
              <c:pt idx="2">
                <c:v>Crude
100</c:v>
              </c:pt>
              <c:pt idx="3">
                <c:v>LNG
100</c:v>
              </c:pt>
            </c:strLit>
          </c:cat>
          <c:val>
            <c:numLit>
              <c:formatCode>General</c:formatCode>
              <c:ptCount val="4"/>
              <c:pt idx="1">
                <c:v>4.5000220391822499</c:v>
              </c:pt>
              <c:pt idx="3">
                <c:v>2.2002193386911824</c:v>
              </c:pt>
            </c:numLit>
          </c:val>
          <c:extLst>
            <c:ext xmlns:c16="http://schemas.microsoft.com/office/drawing/2014/chart" uri="{C3380CC4-5D6E-409C-BE32-E72D297353CC}">
              <c16:uniqueId val="{00000007-474E-4583-9C39-418CA4AA4880}"/>
            </c:ext>
          </c:extLst>
        </c:ser>
        <c:ser>
          <c:idx val="6"/>
          <c:order val="6"/>
          <c:tx>
            <c:v>Refinery - Residual Oil</c:v>
          </c:tx>
          <c:spPr>
            <a:solidFill>
              <a:schemeClr val="accent1">
                <a:lumMod val="60000"/>
              </a:schemeClr>
            </a:solidFill>
            <a:ln>
              <a:noFill/>
            </a:ln>
            <a:effectLst/>
          </c:spPr>
          <c:invertIfNegative val="0"/>
          <c:cat>
            <c:strLit>
              <c:ptCount val="4"/>
              <c:pt idx="0">
                <c:v>Crude
20</c:v>
              </c:pt>
              <c:pt idx="1">
                <c:v>LNG
20</c:v>
              </c:pt>
              <c:pt idx="2">
                <c:v>Crude
100</c:v>
              </c:pt>
              <c:pt idx="3">
                <c:v>LNG
100</c:v>
              </c:pt>
            </c:strLit>
          </c:cat>
          <c:val>
            <c:numLit>
              <c:formatCode>General</c:formatCode>
              <c:ptCount val="4"/>
              <c:pt idx="0">
                <c:v>6.1541220755809416</c:v>
              </c:pt>
              <c:pt idx="2">
                <c:v>5.7773710897097761</c:v>
              </c:pt>
            </c:numLit>
          </c:val>
          <c:extLst>
            <c:ext xmlns:c16="http://schemas.microsoft.com/office/drawing/2014/chart" uri="{C3380CC4-5D6E-409C-BE32-E72D297353CC}">
              <c16:uniqueId val="{00000008-474E-4583-9C39-418CA4AA4880}"/>
            </c:ext>
          </c:extLst>
        </c:ser>
        <c:ser>
          <c:idx val="9"/>
          <c:order val="7"/>
          <c:tx>
            <c:v>Transport - Crude</c:v>
          </c:tx>
          <c:spPr>
            <a:solidFill>
              <a:schemeClr val="accent4">
                <a:lumMod val="60000"/>
              </a:schemeClr>
            </a:solidFill>
            <a:ln>
              <a:noFill/>
            </a:ln>
            <a:effectLst/>
          </c:spPr>
          <c:invertIfNegative val="0"/>
          <c:cat>
            <c:strLit>
              <c:ptCount val="4"/>
              <c:pt idx="0">
                <c:v>Crude
20</c:v>
              </c:pt>
              <c:pt idx="1">
                <c:v>LNG
20</c:v>
              </c:pt>
              <c:pt idx="2">
                <c:v>Crude
100</c:v>
              </c:pt>
              <c:pt idx="3">
                <c:v>LNG
100</c:v>
              </c:pt>
            </c:strLit>
          </c:cat>
          <c:val>
            <c:numLit>
              <c:formatCode>General</c:formatCode>
              <c:ptCount val="4"/>
              <c:pt idx="0">
                <c:v>2.115488440059127</c:v>
              </c:pt>
              <c:pt idx="2">
                <c:v>2.0242134635379379</c:v>
              </c:pt>
            </c:numLit>
          </c:val>
          <c:extLst>
            <c:ext xmlns:c16="http://schemas.microsoft.com/office/drawing/2014/chart" uri="{C3380CC4-5D6E-409C-BE32-E72D297353CC}">
              <c16:uniqueId val="{0000000F-474E-4583-9C39-418CA4AA4880}"/>
            </c:ext>
          </c:extLst>
        </c:ser>
        <c:ser>
          <c:idx val="10"/>
          <c:order val="8"/>
          <c:tx>
            <c:v>Upstream - Crude Production</c:v>
          </c:tx>
          <c:spPr>
            <a:solidFill>
              <a:schemeClr val="accent5">
                <a:lumMod val="60000"/>
              </a:schemeClr>
            </a:solidFill>
            <a:ln>
              <a:noFill/>
            </a:ln>
            <a:effectLst/>
          </c:spPr>
          <c:invertIfNegative val="0"/>
          <c:cat>
            <c:strLit>
              <c:ptCount val="4"/>
              <c:pt idx="0">
                <c:v>Crude
20</c:v>
              </c:pt>
              <c:pt idx="1">
                <c:v>LNG
20</c:v>
              </c:pt>
              <c:pt idx="2">
                <c:v>Crude
100</c:v>
              </c:pt>
              <c:pt idx="3">
                <c:v>LNG
100</c:v>
              </c:pt>
            </c:strLit>
          </c:cat>
          <c:val>
            <c:numLit>
              <c:formatCode>General</c:formatCode>
              <c:ptCount val="4"/>
              <c:pt idx="0">
                <c:v>18.600773655877287</c:v>
              </c:pt>
              <c:pt idx="2">
                <c:v>11.387457493852688</c:v>
              </c:pt>
            </c:numLit>
          </c:val>
          <c:extLst>
            <c:ext xmlns:c16="http://schemas.microsoft.com/office/drawing/2014/chart" uri="{C3380CC4-5D6E-409C-BE32-E72D297353CC}">
              <c16:uniqueId val="{00000010-474E-4583-9C39-418CA4AA4880}"/>
            </c:ext>
          </c:extLst>
        </c:ser>
        <c:ser>
          <c:idx val="7"/>
          <c:order val="9"/>
          <c:tx>
            <c:v>Upstream+ Midstream - NG Production</c:v>
          </c:tx>
          <c:spPr>
            <a:solidFill>
              <a:schemeClr val="accent2">
                <a:lumMod val="60000"/>
              </a:schemeClr>
            </a:solidFill>
            <a:ln>
              <a:noFill/>
            </a:ln>
            <a:effectLst/>
          </c:spPr>
          <c:invertIfNegative val="0"/>
          <c:cat>
            <c:strLit>
              <c:ptCount val="4"/>
              <c:pt idx="0">
                <c:v>Crude
20</c:v>
              </c:pt>
              <c:pt idx="1">
                <c:v>LNG
20</c:v>
              </c:pt>
              <c:pt idx="2">
                <c:v>Crude
100</c:v>
              </c:pt>
              <c:pt idx="3">
                <c:v>LNG
100</c:v>
              </c:pt>
            </c:strLit>
          </c:cat>
          <c:val>
            <c:numLit>
              <c:formatCode>General</c:formatCode>
              <c:ptCount val="4"/>
              <c:pt idx="1">
                <c:v>17.554988751571024</c:v>
              </c:pt>
              <c:pt idx="3">
                <c:v>9.3333341532909166</c:v>
              </c:pt>
            </c:numLit>
          </c:val>
          <c:extLst>
            <c:ext xmlns:c16="http://schemas.microsoft.com/office/drawing/2014/chart" uri="{C3380CC4-5D6E-409C-BE32-E72D297353CC}">
              <c16:uniqueId val="{00000011-474E-4583-9C39-418CA4AA4880}"/>
            </c:ext>
          </c:extLst>
        </c:ser>
        <c:dLbls>
          <c:showLegendKey val="0"/>
          <c:showVal val="0"/>
          <c:showCatName val="0"/>
          <c:showSerName val="0"/>
          <c:showPercent val="0"/>
          <c:showBubbleSize val="0"/>
        </c:dLbls>
        <c:gapWidth val="219"/>
        <c:overlap val="100"/>
        <c:axId val="763828232"/>
        <c:axId val="763824272"/>
      </c:barChart>
      <c:catAx>
        <c:axId val="76382823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824272"/>
        <c:crosses val="autoZero"/>
        <c:auto val="1"/>
        <c:lblAlgn val="ctr"/>
        <c:lblOffset val="100"/>
        <c:noMultiLvlLbl val="0"/>
        <c:extLst>
          <c:ext xmlns:c15="http://schemas.microsoft.com/office/drawing/2012/chart" uri="{F40574EE-89B7-4290-83BB-5DA773EAF853}">
            <c15:numFmt c:formatCode="General" c:sourceLinked="1"/>
          </c:ext>
        </c:extLst>
      </c:catAx>
      <c:valAx>
        <c:axId val="763824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828232"/>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[HSEO Lifecyle GHG CI Weighted Analysis - Alternative Fuels.xlsx]PivotChartTable3</c15:name>
        <c15:fmtId val="0"/>
      </c15:pivotSource>
      <c15:pivotOptions>
        <c15:dropZoneFilter val="1"/>
        <c15:dropZoneCategories val="1"/>
        <c15:dropZoneData val="1"/>
        <c15:dropZoneSeries val="1"/>
        <c15:dropZonesVisible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[HSEO Lifecyle GHG CI Weighted Analysis - Alternative Fuels.xlsx]Scenarios Pivot - fuel input!PivotTable2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00FFC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756286767273969E-2"/>
          <c:y val="0.10370877804564599"/>
          <c:w val="0.89546892999216288"/>
          <c:h val="0.58899570990828509"/>
        </c:manualLayout>
      </c:layout>
      <c:barChart>
        <c:barDir val="col"/>
        <c:grouping val="stacked"/>
        <c:varyColors val="0"/>
        <c:ser>
          <c:idx val="0"/>
          <c:order val="0"/>
          <c:tx>
            <c:strRef>
              <c:f>'Scenarios Pivot - fuel input'!$B$1:$B$2</c:f>
              <c:strCache>
                <c:ptCount val="1"/>
                <c:pt idx="0">
                  <c:v>Fuel - Combustion</c:v>
                </c:pt>
              </c:strCache>
            </c:strRef>
          </c:tx>
          <c:spPr>
            <a:solidFill>
              <a:schemeClr val="accent1"/>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input'!$B$3:$B$35</c:f>
              <c:numCache>
                <c:formatCode>General</c:formatCode>
                <c:ptCount val="20"/>
                <c:pt idx="0">
                  <c:v>85.624142342303202</c:v>
                </c:pt>
                <c:pt idx="1">
                  <c:v>85.456231453950437</c:v>
                </c:pt>
                <c:pt idx="2">
                  <c:v>85.624142342303216</c:v>
                </c:pt>
                <c:pt idx="3">
                  <c:v>85.456231453950437</c:v>
                </c:pt>
                <c:pt idx="4">
                  <c:v>76.323631574386681</c:v>
                </c:pt>
                <c:pt idx="5">
                  <c:v>76.293395840855894</c:v>
                </c:pt>
                <c:pt idx="6">
                  <c:v>85.624142342303216</c:v>
                </c:pt>
                <c:pt idx="7">
                  <c:v>85.456231453950437</c:v>
                </c:pt>
                <c:pt idx="8">
                  <c:v>85.624142342303202</c:v>
                </c:pt>
                <c:pt idx="9">
                  <c:v>85.456231453950437</c:v>
                </c:pt>
                <c:pt idx="10">
                  <c:v>85.624142342303202</c:v>
                </c:pt>
                <c:pt idx="11">
                  <c:v>85.456231453950437</c:v>
                </c:pt>
                <c:pt idx="12">
                  <c:v>59.555374269223613</c:v>
                </c:pt>
                <c:pt idx="13">
                  <c:v>59.483286073921214</c:v>
                </c:pt>
                <c:pt idx="14">
                  <c:v>59.555374269223613</c:v>
                </c:pt>
                <c:pt idx="15">
                  <c:v>59.483286073921214</c:v>
                </c:pt>
                <c:pt idx="16">
                  <c:v>59.555374269223613</c:v>
                </c:pt>
                <c:pt idx="17">
                  <c:v>59.483286073921214</c:v>
                </c:pt>
                <c:pt idx="18">
                  <c:v>59.555374269223613</c:v>
                </c:pt>
                <c:pt idx="19">
                  <c:v>59.483286073921214</c:v>
                </c:pt>
              </c:numCache>
            </c:numRef>
          </c:val>
          <c:extLst>
            <c:ext xmlns:c16="http://schemas.microsoft.com/office/drawing/2014/chart" uri="{C3380CC4-5D6E-409C-BE32-E72D297353CC}">
              <c16:uniqueId val="{00000000-F815-4088-A18A-7EDEF1999D3E}"/>
            </c:ext>
          </c:extLst>
        </c:ser>
        <c:ser>
          <c:idx val="1"/>
          <c:order val="1"/>
          <c:tx>
            <c:strRef>
              <c:f>'Scenarios Pivot - fuel input'!$C$1:$C$2</c:f>
              <c:strCache>
                <c:ptCount val="1"/>
                <c:pt idx="0">
                  <c:v>Gasified  NG T&amp;D to Power Plant</c:v>
                </c:pt>
              </c:strCache>
            </c:strRef>
          </c:tx>
          <c:spPr>
            <a:solidFill>
              <a:schemeClr val="accent2"/>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input'!$C$3:$C$35</c:f>
              <c:numCache>
                <c:formatCode>General</c:formatCode>
                <c:ptCount val="20"/>
                <c:pt idx="12">
                  <c:v>0.69672944801525905</c:v>
                </c:pt>
                <c:pt idx="13">
                  <c:v>0.36655886184282716</c:v>
                </c:pt>
                <c:pt idx="14">
                  <c:v>0.64147839936206574</c:v>
                </c:pt>
                <c:pt idx="15">
                  <c:v>0.3465996442385077</c:v>
                </c:pt>
                <c:pt idx="16">
                  <c:v>0.69672944801525905</c:v>
                </c:pt>
                <c:pt idx="17">
                  <c:v>0.36655886184282716</c:v>
                </c:pt>
                <c:pt idx="18">
                  <c:v>0.69672944801525905</c:v>
                </c:pt>
                <c:pt idx="19">
                  <c:v>0.36655886184282716</c:v>
                </c:pt>
              </c:numCache>
            </c:numRef>
          </c:val>
          <c:extLst>
            <c:ext xmlns:c16="http://schemas.microsoft.com/office/drawing/2014/chart" uri="{C3380CC4-5D6E-409C-BE32-E72D297353CC}">
              <c16:uniqueId val="{00000002-F815-4088-A18A-7EDEF1999D3E}"/>
            </c:ext>
          </c:extLst>
        </c:ser>
        <c:ser>
          <c:idx val="2"/>
          <c:order val="2"/>
          <c:tx>
            <c:strRef>
              <c:f>'Scenarios Pivot - fuel input'!$D$1:$D$2</c:f>
              <c:strCache>
                <c:ptCount val="1"/>
                <c:pt idx="0">
                  <c:v>Liquefaction</c:v>
                </c:pt>
              </c:strCache>
            </c:strRef>
          </c:tx>
          <c:spPr>
            <a:solidFill>
              <a:schemeClr val="accent3"/>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input'!$D$3:$D$35</c:f>
              <c:numCache>
                <c:formatCode>General</c:formatCode>
                <c:ptCount val="20"/>
                <c:pt idx="12">
                  <c:v>9.375256687212163</c:v>
                </c:pt>
                <c:pt idx="13">
                  <c:v>7.5212039469757084</c:v>
                </c:pt>
                <c:pt idx="14">
                  <c:v>10.232548220469367</c:v>
                </c:pt>
                <c:pt idx="15">
                  <c:v>7.8306703816707826</c:v>
                </c:pt>
                <c:pt idx="16">
                  <c:v>9.375256687212163</c:v>
                </c:pt>
                <c:pt idx="17">
                  <c:v>7.5212039469757084</c:v>
                </c:pt>
                <c:pt idx="18">
                  <c:v>9.375256687212163</c:v>
                </c:pt>
                <c:pt idx="19">
                  <c:v>7.5212039469757084</c:v>
                </c:pt>
              </c:numCache>
            </c:numRef>
          </c:val>
          <c:extLst>
            <c:ext xmlns:c16="http://schemas.microsoft.com/office/drawing/2014/chart" uri="{C3380CC4-5D6E-409C-BE32-E72D297353CC}">
              <c16:uniqueId val="{00000003-F815-4088-A18A-7EDEF1999D3E}"/>
            </c:ext>
          </c:extLst>
        </c:ser>
        <c:ser>
          <c:idx val="3"/>
          <c:order val="3"/>
          <c:tx>
            <c:strRef>
              <c:f>'Scenarios Pivot - fuel input'!$E$1:$E$2</c:f>
              <c:strCache>
                <c:ptCount val="1"/>
                <c:pt idx="0">
                  <c:v>LNG Regasification</c:v>
                </c:pt>
              </c:strCache>
            </c:strRef>
          </c:tx>
          <c:spPr>
            <a:solidFill>
              <a:schemeClr val="accent4"/>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input'!$E$3:$E$35</c:f>
              <c:numCache>
                <c:formatCode>General</c:formatCode>
                <c:ptCount val="20"/>
                <c:pt idx="12">
                  <c:v>2.4094314112167869</c:v>
                </c:pt>
                <c:pt idx="13">
                  <c:v>1.2316718887209317</c:v>
                </c:pt>
                <c:pt idx="14">
                  <c:v>2.4145264437882608</c:v>
                </c:pt>
                <c:pt idx="15">
                  <c:v>1.2334956860408701</c:v>
                </c:pt>
                <c:pt idx="16">
                  <c:v>2.4094314112167869</c:v>
                </c:pt>
                <c:pt idx="17">
                  <c:v>1.2316718887209317</c:v>
                </c:pt>
                <c:pt idx="18">
                  <c:v>2.4094314112167869</c:v>
                </c:pt>
                <c:pt idx="19">
                  <c:v>1.2316718887209317</c:v>
                </c:pt>
              </c:numCache>
            </c:numRef>
          </c:val>
          <c:extLst>
            <c:ext xmlns:c16="http://schemas.microsoft.com/office/drawing/2014/chart" uri="{C3380CC4-5D6E-409C-BE32-E72D297353CC}">
              <c16:uniqueId val="{00000004-F815-4088-A18A-7EDEF1999D3E}"/>
            </c:ext>
          </c:extLst>
        </c:ser>
        <c:ser>
          <c:idx val="4"/>
          <c:order val="4"/>
          <c:tx>
            <c:strRef>
              <c:f>'Scenarios Pivot - fuel input'!$F$1:$F$2</c:f>
              <c:strCache>
                <c:ptCount val="1"/>
                <c:pt idx="0">
                  <c:v>LNG Storage</c:v>
                </c:pt>
              </c:strCache>
            </c:strRef>
          </c:tx>
          <c:spPr>
            <a:solidFill>
              <a:srgbClr val="00FFCC"/>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input'!$F$3:$F$35</c:f>
              <c:numCache>
                <c:formatCode>General</c:formatCode>
                <c:ptCount val="20"/>
                <c:pt idx="12">
                  <c:v>1.8009949642669243</c:v>
                </c:pt>
                <c:pt idx="13">
                  <c:v>0.65054121133520426</c:v>
                </c:pt>
                <c:pt idx="14">
                  <c:v>1.8009149858935565</c:v>
                </c:pt>
                <c:pt idx="15">
                  <c:v>0.65051232217730892</c:v>
                </c:pt>
                <c:pt idx="16">
                  <c:v>1.8009949642669243</c:v>
                </c:pt>
                <c:pt idx="17">
                  <c:v>0.65054121133520426</c:v>
                </c:pt>
                <c:pt idx="18">
                  <c:v>1.8009949642669243</c:v>
                </c:pt>
                <c:pt idx="19">
                  <c:v>0.65054121133520426</c:v>
                </c:pt>
              </c:numCache>
            </c:numRef>
          </c:val>
          <c:extLst>
            <c:ext xmlns:c16="http://schemas.microsoft.com/office/drawing/2014/chart" uri="{C3380CC4-5D6E-409C-BE32-E72D297353CC}">
              <c16:uniqueId val="{00000005-F815-4088-A18A-7EDEF1999D3E}"/>
            </c:ext>
          </c:extLst>
        </c:ser>
        <c:ser>
          <c:idx val="5"/>
          <c:order val="5"/>
          <c:tx>
            <c:strRef>
              <c:f>'Scenarios Pivot - fuel input'!$G$1:$G$2</c:f>
              <c:strCache>
                <c:ptCount val="1"/>
                <c:pt idx="0">
                  <c:v>LNG T&amp;D</c:v>
                </c:pt>
              </c:strCache>
            </c:strRef>
          </c:tx>
          <c:spPr>
            <a:solidFill>
              <a:schemeClr val="accent6"/>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input'!$G$3:$G$35</c:f>
              <c:numCache>
                <c:formatCode>General</c:formatCode>
                <c:ptCount val="20"/>
                <c:pt idx="12">
                  <c:v>5.0295750403146258</c:v>
                </c:pt>
                <c:pt idx="13">
                  <c:v>2.4616343539934133</c:v>
                </c:pt>
                <c:pt idx="14">
                  <c:v>5.0990623029371562</c:v>
                </c:pt>
                <c:pt idx="15">
                  <c:v>2.4867040520706301</c:v>
                </c:pt>
                <c:pt idx="16">
                  <c:v>5.0295750403146258</c:v>
                </c:pt>
                <c:pt idx="17">
                  <c:v>2.4616343539934133</c:v>
                </c:pt>
                <c:pt idx="18">
                  <c:v>2.841875773162593</c:v>
                </c:pt>
                <c:pt idx="19">
                  <c:v>1.3909045947072729</c:v>
                </c:pt>
              </c:numCache>
            </c:numRef>
          </c:val>
          <c:extLst>
            <c:ext xmlns:c16="http://schemas.microsoft.com/office/drawing/2014/chart" uri="{C3380CC4-5D6E-409C-BE32-E72D297353CC}">
              <c16:uniqueId val="{00000006-F815-4088-A18A-7EDEF1999D3E}"/>
            </c:ext>
          </c:extLst>
        </c:ser>
        <c:ser>
          <c:idx val="6"/>
          <c:order val="6"/>
          <c:tx>
            <c:strRef>
              <c:f>'Scenarios Pivot - fuel input'!$H$1:$H$2</c:f>
              <c:strCache>
                <c:ptCount val="1"/>
                <c:pt idx="0">
                  <c:v>Refinery - Residual Oil</c:v>
                </c:pt>
              </c:strCache>
            </c:strRef>
          </c:tx>
          <c:spPr>
            <a:solidFill>
              <a:schemeClr val="accent1">
                <a:lumMod val="60000"/>
              </a:schemeClr>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input'!$H$3:$H$35</c:f>
              <c:numCache>
                <c:formatCode>General</c:formatCode>
                <c:ptCount val="20"/>
                <c:pt idx="0">
                  <c:v>5.6326918303044309</c:v>
                </c:pt>
                <c:pt idx="1">
                  <c:v>5.1415219215438395</c:v>
                </c:pt>
                <c:pt idx="2">
                  <c:v>5.6326918303044309</c:v>
                </c:pt>
                <c:pt idx="3">
                  <c:v>5.1415219215438395</c:v>
                </c:pt>
                <c:pt idx="4">
                  <c:v>7.2941391246223324</c:v>
                </c:pt>
                <c:pt idx="5">
                  <c:v>7.1826580235439055</c:v>
                </c:pt>
                <c:pt idx="6">
                  <c:v>5.6326918303044309</c:v>
                </c:pt>
                <c:pt idx="7">
                  <c:v>5.1415219215438395</c:v>
                </c:pt>
                <c:pt idx="8">
                  <c:v>5.6326918303044309</c:v>
                </c:pt>
                <c:pt idx="9">
                  <c:v>5.1415219215438395</c:v>
                </c:pt>
                <c:pt idx="10">
                  <c:v>5.6326918303044309</c:v>
                </c:pt>
                <c:pt idx="11">
                  <c:v>5.1415219215438395</c:v>
                </c:pt>
              </c:numCache>
            </c:numRef>
          </c:val>
          <c:extLst>
            <c:ext xmlns:c16="http://schemas.microsoft.com/office/drawing/2014/chart" uri="{C3380CC4-5D6E-409C-BE32-E72D297353CC}">
              <c16:uniqueId val="{00000007-F815-4088-A18A-7EDEF1999D3E}"/>
            </c:ext>
          </c:extLst>
        </c:ser>
        <c:ser>
          <c:idx val="7"/>
          <c:order val="7"/>
          <c:tx>
            <c:strRef>
              <c:f>'Scenarios Pivot - fuel input'!$I$1:$I$2</c:f>
              <c:strCache>
                <c:ptCount val="1"/>
                <c:pt idx="0">
                  <c:v>Transport - Crude</c:v>
                </c:pt>
              </c:strCache>
            </c:strRef>
          </c:tx>
          <c:spPr>
            <a:solidFill>
              <a:schemeClr val="accent2">
                <a:lumMod val="60000"/>
              </a:schemeClr>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input'!$I$3:$I$35</c:f>
              <c:numCache>
                <c:formatCode>General</c:formatCode>
                <c:ptCount val="20"/>
                <c:pt idx="0">
                  <c:v>2.0194475155941065</c:v>
                </c:pt>
                <c:pt idx="1">
                  <c:v>1.9114330401548154</c:v>
                </c:pt>
                <c:pt idx="2">
                  <c:v>2.1251326661399319</c:v>
                </c:pt>
                <c:pt idx="3">
                  <c:v>2.0120914399212166</c:v>
                </c:pt>
                <c:pt idx="4">
                  <c:v>2.2118503841835055</c:v>
                </c:pt>
                <c:pt idx="5">
                  <c:v>2.1679922273469101</c:v>
                </c:pt>
                <c:pt idx="6">
                  <c:v>2.1251326661399319</c:v>
                </c:pt>
                <c:pt idx="7">
                  <c:v>2.0120914399212166</c:v>
                </c:pt>
                <c:pt idx="8">
                  <c:v>1.7174742186320189</c:v>
                </c:pt>
                <c:pt idx="9">
                  <c:v>1.6261173848839228</c:v>
                </c:pt>
                <c:pt idx="10">
                  <c:v>2.4204212156051557</c:v>
                </c:pt>
                <c:pt idx="11">
                  <c:v>2.2916728383686524</c:v>
                </c:pt>
              </c:numCache>
            </c:numRef>
          </c:val>
          <c:extLst>
            <c:ext xmlns:c16="http://schemas.microsoft.com/office/drawing/2014/chart" uri="{C3380CC4-5D6E-409C-BE32-E72D297353CC}">
              <c16:uniqueId val="{00000008-F815-4088-A18A-7EDEF1999D3E}"/>
            </c:ext>
          </c:extLst>
        </c:ser>
        <c:ser>
          <c:idx val="8"/>
          <c:order val="8"/>
          <c:tx>
            <c:strRef>
              <c:f>'Scenarios Pivot - fuel input'!$J$1:$J$2</c:f>
              <c:strCache>
                <c:ptCount val="1"/>
                <c:pt idx="0">
                  <c:v>Upstream - Crude Production</c:v>
                </c:pt>
              </c:strCache>
            </c:strRef>
          </c:tx>
          <c:spPr>
            <a:solidFill>
              <a:schemeClr val="accent3">
                <a:lumMod val="60000"/>
              </a:schemeClr>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input'!$J$3:$J$35</c:f>
              <c:numCache>
                <c:formatCode>General</c:formatCode>
                <c:ptCount val="20"/>
                <c:pt idx="0">
                  <c:v>11.873355275718035</c:v>
                </c:pt>
                <c:pt idx="1">
                  <c:v>7.1600309404908575</c:v>
                </c:pt>
                <c:pt idx="2">
                  <c:v>5.6583540865099433</c:v>
                </c:pt>
                <c:pt idx="3">
                  <c:v>5.6583540865099433</c:v>
                </c:pt>
                <c:pt idx="4">
                  <c:v>26.758230292300969</c:v>
                </c:pt>
                <c:pt idx="5">
                  <c:v>15.192002580684411</c:v>
                </c:pt>
                <c:pt idx="6">
                  <c:v>26.758230292300969</c:v>
                </c:pt>
                <c:pt idx="7">
                  <c:v>15.192002580684411</c:v>
                </c:pt>
                <c:pt idx="8">
                  <c:v>21.179169021632752</c:v>
                </c:pt>
                <c:pt idx="9">
                  <c:v>13.200006929184553</c:v>
                </c:pt>
                <c:pt idx="10">
                  <c:v>30.799439103412986</c:v>
                </c:pt>
                <c:pt idx="11">
                  <c:v>16.634910264968344</c:v>
                </c:pt>
              </c:numCache>
            </c:numRef>
          </c:val>
          <c:extLst>
            <c:ext xmlns:c16="http://schemas.microsoft.com/office/drawing/2014/chart" uri="{C3380CC4-5D6E-409C-BE32-E72D297353CC}">
              <c16:uniqueId val="{00000009-F815-4088-A18A-7EDEF1999D3E}"/>
            </c:ext>
          </c:extLst>
        </c:ser>
        <c:ser>
          <c:idx val="9"/>
          <c:order val="9"/>
          <c:tx>
            <c:strRef>
              <c:f>'Scenarios Pivot - fuel input'!$K$1:$K$2</c:f>
              <c:strCache>
                <c:ptCount val="1"/>
                <c:pt idx="0">
                  <c:v>Upstream+ Midstream - NG Production</c:v>
                </c:pt>
              </c:strCache>
            </c:strRef>
          </c:tx>
          <c:spPr>
            <a:solidFill>
              <a:schemeClr val="accent5"/>
            </a:solidFill>
            <a:ln>
              <a:noFill/>
            </a:ln>
            <a:effectLst/>
          </c:spPr>
          <c:invertIfNegative val="0"/>
          <c:cat>
            <c:multiLvlStrRef>
              <c:f>'Scenarios Pivot - fuel input'!$A$3:$A$35</c:f>
              <c:multiLvlStrCache>
                <c:ptCount val="20"/>
                <c:lvl>
                  <c:pt idx="0">
                    <c:v>20</c:v>
                  </c:pt>
                  <c:pt idx="1">
                    <c:v>100</c:v>
                  </c:pt>
                  <c:pt idx="2">
                    <c:v>20</c:v>
                  </c:pt>
                  <c:pt idx="3">
                    <c:v>100</c:v>
                  </c:pt>
                  <c:pt idx="4">
                    <c:v>20</c:v>
                  </c:pt>
                  <c:pt idx="5">
                    <c:v>100</c:v>
                  </c:pt>
                  <c:pt idx="6">
                    <c:v>20</c:v>
                  </c:pt>
                  <c:pt idx="7">
                    <c:v>100</c:v>
                  </c:pt>
                  <c:pt idx="8">
                    <c:v>20</c:v>
                  </c:pt>
                  <c:pt idx="9">
                    <c:v>100</c:v>
                  </c:pt>
                  <c:pt idx="10">
                    <c:v>20</c:v>
                  </c:pt>
                  <c:pt idx="11">
                    <c:v>100</c:v>
                  </c:pt>
                  <c:pt idx="12">
                    <c:v>20</c:v>
                  </c:pt>
                  <c:pt idx="13">
                    <c:v>100</c:v>
                  </c:pt>
                  <c:pt idx="14">
                    <c:v>20</c:v>
                  </c:pt>
                  <c:pt idx="15">
                    <c:v>100</c:v>
                  </c:pt>
                  <c:pt idx="16">
                    <c:v>20</c:v>
                  </c:pt>
                  <c:pt idx="17">
                    <c:v>100</c:v>
                  </c:pt>
                  <c:pt idx="18">
                    <c:v>20</c:v>
                  </c:pt>
                  <c:pt idx="19">
                    <c:v>100</c:v>
                  </c:pt>
                </c:lvl>
                <c:lvl>
                  <c:pt idx="0">
                    <c:v>ANL GREET Default</c:v>
                  </c:pt>
                  <c:pt idx="2">
                    <c:v>NOIA Report and GREET Hybrid</c:v>
                  </c:pt>
                  <c:pt idx="4">
                    <c:v>RMI/OCI+ (all countries)</c:v>
                  </c:pt>
                  <c:pt idx="6">
                    <c:v>RMI/OCI+ and GREET Hybrid</c:v>
                  </c:pt>
                  <c:pt idx="8">
                    <c:v>RMI/OCI+ and GREET Hybrid ARG</c:v>
                  </c:pt>
                  <c:pt idx="10">
                    <c:v>RMI/OCI+ and GREET Hybrid LBY</c:v>
                  </c:pt>
                  <c:pt idx="12">
                    <c:v>ANL GREET Default</c:v>
                  </c:pt>
                  <c:pt idx="14">
                    <c:v>EPA Report and Customized GREET</c:v>
                  </c:pt>
                  <c:pt idx="16">
                    <c:v>RMI/OCI+ (AUS) and GREET Hybrid</c:v>
                  </c:pt>
                  <c:pt idx="18">
                    <c:v>RMI/OCI+ (CAN - Montney BC) and GREET Hybrid</c:v>
                  </c:pt>
                </c:lvl>
                <c:lvl>
                  <c:pt idx="0">
                    <c:v>Crude</c:v>
                  </c:pt>
                  <c:pt idx="12">
                    <c:v>LNG</c:v>
                  </c:pt>
                </c:lvl>
              </c:multiLvlStrCache>
            </c:multiLvlStrRef>
          </c:cat>
          <c:val>
            <c:numRef>
              <c:f>'Scenarios Pivot - fuel input'!$K$3:$K$35</c:f>
              <c:numCache>
                <c:formatCode>General</c:formatCode>
                <c:ptCount val="20"/>
                <c:pt idx="12">
                  <c:v>16.705982568936786</c:v>
                </c:pt>
                <c:pt idx="13">
                  <c:v>9.5439452881464373</c:v>
                </c:pt>
                <c:pt idx="14">
                  <c:v>26.117492105251266</c:v>
                </c:pt>
                <c:pt idx="15">
                  <c:v>12.943188085779772</c:v>
                </c:pt>
                <c:pt idx="16">
                  <c:v>15.170772091241597</c:v>
                </c:pt>
                <c:pt idx="17">
                  <c:v>8.6126831432389643</c:v>
                </c:pt>
                <c:pt idx="18">
                  <c:v>12.225708240854447</c:v>
                </c:pt>
                <c:pt idx="19">
                  <c:v>6.2335200959984967</c:v>
                </c:pt>
              </c:numCache>
            </c:numRef>
          </c:val>
          <c:extLst>
            <c:ext xmlns:c16="http://schemas.microsoft.com/office/drawing/2014/chart" uri="{C3380CC4-5D6E-409C-BE32-E72D297353CC}">
              <c16:uniqueId val="{0000000A-F815-4088-A18A-7EDEF1999D3E}"/>
            </c:ext>
          </c:extLst>
        </c:ser>
        <c:dLbls>
          <c:showLegendKey val="0"/>
          <c:showVal val="0"/>
          <c:showCatName val="0"/>
          <c:showSerName val="0"/>
          <c:showPercent val="0"/>
          <c:showBubbleSize val="0"/>
        </c:dLbls>
        <c:gapWidth val="99"/>
        <c:overlap val="100"/>
        <c:axId val="1010482271"/>
        <c:axId val="1010479391"/>
      </c:barChart>
      <c:catAx>
        <c:axId val="101048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b"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10479391"/>
        <c:crosses val="autoZero"/>
        <c:auto val="0"/>
        <c:lblAlgn val="ctr"/>
        <c:lblOffset val="100"/>
        <c:noMultiLvlLbl val="0"/>
      </c:catAx>
      <c:valAx>
        <c:axId val="10104793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Carbon</a:t>
                </a:r>
                <a:r>
                  <a:rPr lang="en-US" baseline="0"/>
                  <a:t> Intensity (kg CO2e/MMBtu Fuel)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0482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rot="5400000" vert="horz"/>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20</xdr:row>
      <xdr:rowOff>142874</xdr:rowOff>
    </xdr:from>
    <xdr:to>
      <xdr:col>4</xdr:col>
      <xdr:colOff>3810</xdr:colOff>
      <xdr:row>33</xdr:row>
      <xdr:rowOff>95249</xdr:rowOff>
    </xdr:to>
    <xdr:sp macro="" textlink="">
      <xdr:nvSpPr>
        <xdr:cNvPr id="2" name="TextBox 1">
          <a:extLst>
            <a:ext uri="{FF2B5EF4-FFF2-40B4-BE49-F238E27FC236}">
              <a16:creationId xmlns:a16="http://schemas.microsoft.com/office/drawing/2014/main" id="{FE8F852D-1031-6BA5-C47A-D4FB4FAB1DE9}"/>
            </a:ext>
          </a:extLst>
        </xdr:cNvPr>
        <xdr:cNvSpPr txBox="1"/>
      </xdr:nvSpPr>
      <xdr:spPr>
        <a:xfrm>
          <a:off x="0" y="3465194"/>
          <a:ext cx="10610850" cy="2329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(1) The emissions for oil and LNG were compared using three different sources: ANL GREET, RMI/OCI+ and NOIA/EPA for both GWP of 100 years and 20 years</a:t>
          </a:r>
          <a:r>
            <a:rPr lang="en-US"/>
            <a:t> </a:t>
          </a:r>
        </a:p>
        <a:p>
          <a:r>
            <a:rPr lang="en-US" sz="1100" b="0" i="0" u="none" strike="noStrike">
              <a:solidFill>
                <a:schemeClr val="dk1"/>
              </a:solidFill>
              <a:effectLst/>
              <a:latin typeface="+mn-lt"/>
              <a:ea typeface="+mn-ea"/>
              <a:cs typeface="+mn-cs"/>
            </a:rPr>
            <a:t>  - For ANL GREET, the latest model (GREET1_2023) was used. </a:t>
          </a:r>
        </a:p>
        <a:p>
          <a:r>
            <a:rPr lang="en-US" sz="1100" b="0" i="0" u="none" strike="noStrike">
              <a:solidFill>
                <a:schemeClr val="dk1"/>
              </a:solidFill>
              <a:effectLst/>
              <a:latin typeface="+mn-lt"/>
              <a:ea typeface="+mn-ea"/>
              <a:cs typeface="+mn-cs"/>
            </a:rPr>
            <a:t>  - For RMI/OCI+, 2022 data was used for the analysis based on locations shown in the HSEO_Crude Import tab for the oil fuel analysis and assumed Australia and B.C, Canada for LNG based on discussions with HSEO</a:t>
          </a:r>
          <a:r>
            <a:rPr lang="en-US"/>
            <a:t> </a:t>
          </a:r>
        </a:p>
        <a:p>
          <a:r>
            <a:rPr lang="en-US" sz="1100" b="0" i="0" u="none" strike="noStrike">
              <a:solidFill>
                <a:schemeClr val="dk1"/>
              </a:solidFill>
              <a:effectLst/>
              <a:latin typeface="+mn-lt"/>
              <a:ea typeface="+mn-ea"/>
              <a:cs typeface="+mn-cs"/>
            </a:rPr>
            <a:t> - the NOIA EPA report was</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used as a comparison for upstream emissions</a:t>
          </a:r>
        </a:p>
        <a:p>
          <a:endParaRPr lang="en-US"/>
        </a:p>
        <a:p>
          <a:r>
            <a:rPr lang="en-US" sz="1100" b="0" i="0" u="none" strike="noStrike">
              <a:solidFill>
                <a:schemeClr val="dk1"/>
              </a:solidFill>
              <a:effectLst/>
              <a:latin typeface="+mn-lt"/>
              <a:ea typeface="+mn-ea"/>
              <a:cs typeface="+mn-cs"/>
            </a:rPr>
            <a:t>(2) Since the GREET model provided a more detailed breakdown of the emissions, we also provided an analysis of the RMI/OCI+ upstream emissions along with the remaining of the lifecycle emissions from GREET.</a:t>
          </a:r>
          <a:r>
            <a:rPr lang="en-US"/>
            <a:t> </a:t>
          </a:r>
          <a:r>
            <a:rPr lang="en-US" sz="1100" b="0" i="0" u="none" strike="noStrike">
              <a:solidFill>
                <a:schemeClr val="dk1"/>
              </a:solidFill>
              <a:effectLst/>
              <a:latin typeface="+mn-lt"/>
              <a:ea typeface="+mn-ea"/>
              <a:cs typeface="+mn-cs"/>
            </a:rPr>
            <a:t>Thus, results are shown for GREET defualt, RMI/OCI+ defualt, RMI/OCI+ upstream emissions with GREET emissions for the remainder of the lifecycle, and NOIA/EPA upstream emissions with GREET emissions for the remainder of the lifecycle.</a:t>
          </a:r>
          <a:r>
            <a:rPr lang="en-US"/>
            <a:t> </a:t>
          </a:r>
        </a:p>
        <a:p>
          <a:r>
            <a:rPr lang="en-US" sz="1100" b="0" i="0" u="none" strike="noStrike">
              <a:solidFill>
                <a:schemeClr val="dk1"/>
              </a:solidFill>
              <a:effectLst/>
              <a:latin typeface="+mn-lt"/>
              <a:ea typeface="+mn-ea"/>
              <a:cs typeface="+mn-cs"/>
            </a:rPr>
            <a:t>(3)</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For LNG, we've incorporated methane leakage emissions rates from EPA report into the GREET model and made a customized run</a:t>
          </a:r>
        </a:p>
        <a:p>
          <a:r>
            <a:rPr lang="en-US" sz="1100" b="0" i="0" u="none" strike="noStrike">
              <a:solidFill>
                <a:schemeClr val="dk1"/>
              </a:solidFill>
              <a:effectLst/>
              <a:latin typeface="+mn-lt"/>
              <a:ea typeface="+mn-ea"/>
              <a:cs typeface="+mn-cs"/>
            </a:rPr>
            <a:t>(4)</a:t>
          </a:r>
          <a:r>
            <a:rPr lang="en-US"/>
            <a:t> </a:t>
          </a:r>
          <a:r>
            <a:rPr lang="en-US" sz="1100" b="0" i="0" u="none" strike="noStrike">
              <a:solidFill>
                <a:schemeClr val="dk1"/>
              </a:solidFill>
              <a:effectLst/>
              <a:latin typeface="+mn-lt"/>
              <a:ea typeface="+mn-ea"/>
              <a:cs typeface="+mn-cs"/>
            </a:rPr>
            <a:t>Results are presented in kgCO2e/mmBtu fuel and then converted to kg CO2e/mmBtu electricty.</a:t>
          </a:r>
          <a:r>
            <a:rPr lang="en-US"/>
            <a:t> </a:t>
          </a:r>
        </a:p>
        <a:p>
          <a:r>
            <a:rPr lang="en-US" sz="1100" b="0" i="0" u="none" strike="noStrike">
              <a:solidFill>
                <a:schemeClr val="dk1"/>
              </a:solidFill>
              <a:effectLst/>
              <a:latin typeface="+mn-lt"/>
              <a:ea typeface="+mn-ea"/>
              <a:cs typeface="+mn-cs"/>
            </a:rPr>
            <a:t>(5) This analysis was repeated for 100-year GWP and 20-year GWP.</a:t>
          </a:r>
          <a:r>
            <a:rPr lang="en-US"/>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21</xdr:row>
      <xdr:rowOff>18143</xdr:rowOff>
    </xdr:from>
    <xdr:to>
      <xdr:col>11</xdr:col>
      <xdr:colOff>443230</xdr:colOff>
      <xdr:row>47</xdr:row>
      <xdr:rowOff>172358</xdr:rowOff>
    </xdr:to>
    <xdr:graphicFrame macro="">
      <xdr:nvGraphicFramePr>
        <xdr:cNvPr id="2" name="Chart 1">
          <a:extLst>
            <a:ext uri="{FF2B5EF4-FFF2-40B4-BE49-F238E27FC236}">
              <a16:creationId xmlns:a16="http://schemas.microsoft.com/office/drawing/2014/main" id="{0FEF9440-6EAC-437A-EE47-30B0255A4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49</xdr:row>
      <xdr:rowOff>70757</xdr:rowOff>
    </xdr:from>
    <xdr:to>
      <xdr:col>11</xdr:col>
      <xdr:colOff>734784</xdr:colOff>
      <xdr:row>74</xdr:row>
      <xdr:rowOff>149679</xdr:rowOff>
    </xdr:to>
    <xdr:graphicFrame macro="">
      <xdr:nvGraphicFramePr>
        <xdr:cNvPr id="5" name="Chart 4">
          <a:extLst>
            <a:ext uri="{FF2B5EF4-FFF2-40B4-BE49-F238E27FC236}">
              <a16:creationId xmlns:a16="http://schemas.microsoft.com/office/drawing/2014/main" id="{1E45E293-2E99-84AB-ED93-B8E0BA62CC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36</xdr:row>
      <xdr:rowOff>159785</xdr:rowOff>
    </xdr:from>
    <xdr:to>
      <xdr:col>10</xdr:col>
      <xdr:colOff>1473680</xdr:colOff>
      <xdr:row>67</xdr:row>
      <xdr:rowOff>156320</xdr:rowOff>
    </xdr:to>
    <xdr:graphicFrame macro="">
      <xdr:nvGraphicFramePr>
        <xdr:cNvPr id="2" name="Chart 1">
          <a:extLst>
            <a:ext uri="{FF2B5EF4-FFF2-40B4-BE49-F238E27FC236}">
              <a16:creationId xmlns:a16="http://schemas.microsoft.com/office/drawing/2014/main" id="{F19E080F-1945-1ADC-F3B8-F47623A023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246185</xdr:colOff>
      <xdr:row>8</xdr:row>
      <xdr:rowOff>140677</xdr:rowOff>
    </xdr:from>
    <xdr:to>
      <xdr:col>24</xdr:col>
      <xdr:colOff>187125</xdr:colOff>
      <xdr:row>23</xdr:row>
      <xdr:rowOff>173464</xdr:rowOff>
    </xdr:to>
    <xdr:pic>
      <xdr:nvPicPr>
        <xdr:cNvPr id="3" name="Picture 2">
          <a:extLst>
            <a:ext uri="{FF2B5EF4-FFF2-40B4-BE49-F238E27FC236}">
              <a16:creationId xmlns:a16="http://schemas.microsoft.com/office/drawing/2014/main" id="{71698EDF-96DC-6488-4069-B8913FB3812C}"/>
            </a:ext>
          </a:extLst>
        </xdr:cNvPr>
        <xdr:cNvPicPr>
          <a:picLocks noChangeAspect="1"/>
        </xdr:cNvPicPr>
      </xdr:nvPicPr>
      <xdr:blipFill>
        <a:blip xmlns:r="http://schemas.openxmlformats.org/officeDocument/2006/relationships" r:embed="rId1"/>
        <a:stretch>
          <a:fillRect/>
        </a:stretch>
      </xdr:blipFill>
      <xdr:spPr>
        <a:xfrm>
          <a:off x="5908431" y="1641231"/>
          <a:ext cx="11300602" cy="2842515"/>
        </a:xfrm>
        <a:prstGeom prst="rect">
          <a:avLst/>
        </a:prstGeom>
      </xdr:spPr>
    </xdr:pic>
    <xdr:clientData/>
  </xdr:twoCellAnchor>
  <xdr:twoCellAnchor editAs="oneCell">
    <xdr:from>
      <xdr:col>5</xdr:col>
      <xdr:colOff>356381</xdr:colOff>
      <xdr:row>1</xdr:row>
      <xdr:rowOff>164123</xdr:rowOff>
    </xdr:from>
    <xdr:to>
      <xdr:col>24</xdr:col>
      <xdr:colOff>61067</xdr:colOff>
      <xdr:row>9</xdr:row>
      <xdr:rowOff>3413</xdr:rowOff>
    </xdr:to>
    <xdr:pic>
      <xdr:nvPicPr>
        <xdr:cNvPr id="4" name="Picture 3">
          <a:extLst>
            <a:ext uri="{FF2B5EF4-FFF2-40B4-BE49-F238E27FC236}">
              <a16:creationId xmlns:a16="http://schemas.microsoft.com/office/drawing/2014/main" id="{12750460-8489-47A2-E580-8FD60559E3A4}"/>
            </a:ext>
          </a:extLst>
        </xdr:cNvPr>
        <xdr:cNvPicPr>
          <a:picLocks noChangeAspect="1"/>
        </xdr:cNvPicPr>
      </xdr:nvPicPr>
      <xdr:blipFill>
        <a:blip xmlns:r="http://schemas.openxmlformats.org/officeDocument/2006/relationships" r:embed="rId2"/>
        <a:stretch>
          <a:fillRect/>
        </a:stretch>
      </xdr:blipFill>
      <xdr:spPr>
        <a:xfrm>
          <a:off x="6018627" y="351692"/>
          <a:ext cx="11060538" cy="1341749"/>
        </a:xfrm>
        <a:prstGeom prst="rect">
          <a:avLst/>
        </a:prstGeom>
      </xdr:spPr>
    </xdr:pic>
    <xdr:clientData/>
  </xdr:twoCellAnchor>
  <xdr:twoCellAnchor editAs="oneCell">
    <xdr:from>
      <xdr:col>5</xdr:col>
      <xdr:colOff>336745</xdr:colOff>
      <xdr:row>22</xdr:row>
      <xdr:rowOff>128367</xdr:rowOff>
    </xdr:from>
    <xdr:to>
      <xdr:col>24</xdr:col>
      <xdr:colOff>103003</xdr:colOff>
      <xdr:row>32</xdr:row>
      <xdr:rowOff>65761</xdr:rowOff>
    </xdr:to>
    <xdr:pic>
      <xdr:nvPicPr>
        <xdr:cNvPr id="5" name="Picture 4">
          <a:extLst>
            <a:ext uri="{FF2B5EF4-FFF2-40B4-BE49-F238E27FC236}">
              <a16:creationId xmlns:a16="http://schemas.microsoft.com/office/drawing/2014/main" id="{20CEA29C-57D3-2763-1F94-90AC8D0BB0A6}"/>
            </a:ext>
          </a:extLst>
        </xdr:cNvPr>
        <xdr:cNvPicPr>
          <a:picLocks noChangeAspect="1"/>
        </xdr:cNvPicPr>
      </xdr:nvPicPr>
      <xdr:blipFill>
        <a:blip xmlns:r="http://schemas.openxmlformats.org/officeDocument/2006/relationships" r:embed="rId3"/>
        <a:stretch>
          <a:fillRect/>
        </a:stretch>
      </xdr:blipFill>
      <xdr:spPr>
        <a:xfrm>
          <a:off x="5998991" y="4254890"/>
          <a:ext cx="11122110" cy="1811181"/>
        </a:xfrm>
        <a:prstGeom prst="rect">
          <a:avLst/>
        </a:prstGeom>
      </xdr:spPr>
    </xdr:pic>
    <xdr:clientData/>
  </xdr:twoCellAnchor>
  <xdr:twoCellAnchor editAs="oneCell">
    <xdr:from>
      <xdr:col>5</xdr:col>
      <xdr:colOff>337401</xdr:colOff>
      <xdr:row>33</xdr:row>
      <xdr:rowOff>34583</xdr:rowOff>
    </xdr:from>
    <xdr:to>
      <xdr:col>24</xdr:col>
      <xdr:colOff>137093</xdr:colOff>
      <xdr:row>64</xdr:row>
      <xdr:rowOff>54578</xdr:rowOff>
    </xdr:to>
    <xdr:pic>
      <xdr:nvPicPr>
        <xdr:cNvPr id="7" name="Picture 6">
          <a:extLst>
            <a:ext uri="{FF2B5EF4-FFF2-40B4-BE49-F238E27FC236}">
              <a16:creationId xmlns:a16="http://schemas.microsoft.com/office/drawing/2014/main" id="{385B2149-4B58-F7D9-E84D-CCD9D3384FE8}"/>
            </a:ext>
          </a:extLst>
        </xdr:cNvPr>
        <xdr:cNvPicPr>
          <a:picLocks noChangeAspect="1"/>
        </xdr:cNvPicPr>
      </xdr:nvPicPr>
      <xdr:blipFill>
        <a:blip xmlns:r="http://schemas.openxmlformats.org/officeDocument/2006/relationships" r:embed="rId4"/>
        <a:stretch>
          <a:fillRect/>
        </a:stretch>
      </xdr:blipFill>
      <xdr:spPr>
        <a:xfrm>
          <a:off x="5999647" y="6224368"/>
          <a:ext cx="11159354" cy="60339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285925</xdr:colOff>
      <xdr:row>18</xdr:row>
      <xdr:rowOff>129541</xdr:rowOff>
    </xdr:to>
    <xdr:pic>
      <xdr:nvPicPr>
        <xdr:cNvPr id="2" name="Picture 1">
          <a:extLst>
            <a:ext uri="{FF2B5EF4-FFF2-40B4-BE49-F238E27FC236}">
              <a16:creationId xmlns:a16="http://schemas.microsoft.com/office/drawing/2014/main" id="{E1496967-AA1A-6588-B308-08F5BA69D911}"/>
            </a:ext>
          </a:extLst>
        </xdr:cNvPr>
        <xdr:cNvPicPr>
          <a:picLocks noChangeAspect="1"/>
        </xdr:cNvPicPr>
      </xdr:nvPicPr>
      <xdr:blipFill>
        <a:blip xmlns:r="http://schemas.openxmlformats.org/officeDocument/2006/relationships" r:embed="rId1"/>
        <a:stretch>
          <a:fillRect/>
        </a:stretch>
      </xdr:blipFill>
      <xdr:spPr>
        <a:xfrm>
          <a:off x="1" y="1"/>
          <a:ext cx="4126404" cy="342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jades\Desktop\Documents%20and%20Settings\keithmc\Local%20Settings\Temporary%20Internet%20Files\OLK7\Proforma%20-%20Rental%20Phase%20I%20-%20Reforecast%2010-07-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lob3.sharepoint.com/sites/energyleads/Shared%20Documents/Optima%20KV/Tarheel_OptimaKV_WTE%20Spread_11.8.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etorg3943697.sharepoint.com/Users/Celia/dynamicgrp.us/Dynamic%20Corporate%20-%20Executive%20Team/Investor%20Relations/Model/Dynamic%20Renewables%20Model_DRAFT%202022%2004%20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eliaMcIntosh/Downloads/BCO%20Model_IRA%20Upsize_2022%2008%2030.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hawaiioimt-my.sharepoint.com/personal/monique_m_schafer_hawaii_gov/Documents/LCA_AltFuels_Summary.xlsx" TargetMode="External"/><Relationship Id="rId1" Type="http://schemas.openxmlformats.org/officeDocument/2006/relationships/externalLinkPath" Target="https://hawaiioimt-my.sharepoint.com/personal/monique_m_schafer_hawaii_gov/Documents/LCA_AltFuels_Summar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etorg3943697.sharepoint.com/Users/Roy/Library/Mail%20Downloads/CLARKS/SharedDocs/A_SBMSSN/APTSBMS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lob3-my.sharepoint.com/Users/Fred/AppData/Local/Microsoft/Windows/INetCache/Content.Outlook/AQ3NPSIO/Rams%20Horn%20Solar%20Center%20-%20Progress%20Energy%20CSP-27%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ata\EXCEL\9th%20Floor%20Current%209-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tchurch\Local%20Settings\Temporary%20Internet%20Files\OLKC\Gay%20STreet%20budget%205%201%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etorg3943697.sharepoint.com/Save%20for%20New%20Laptop/National%20Trust%20for%20Historic%20Preservation/Professional%20Building/KansasCity(LIHTC).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LNG-Oil%20Analysis%20-%20Fuel%20Inpu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Anthy\Comments\SLCP%20manure%20biogas%20calcul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lob3.sharepoint.com/Users/derek.welsh/OneDrive%20-%20Live%20Oak/Desktop/Buckleberry/Buckleberry%20Solar%2078%20MW%20USDA%20Spread%20(002).xlsm"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Users/Celia/Box/4.%20Underwriting/Pipeline/II.%20Projects%20in%20Active%20Diligence/Dynamic/BC%20Organics%20LLC/Closing%20Model/IRA%20Upsize/BCO%20Transaction%20Model%204-14-21_TE%20v5_JWH%20(Final%20for%20Pre-Close%20Memo)_v4%20(has%20JE%20refreshed%20for%20date%20update).xlsx?FBF930D5" TargetMode="External"/><Relationship Id="rId1" Type="http://schemas.openxmlformats.org/officeDocument/2006/relationships/externalLinkPath" Target="file:///\\FBF930D5\BCO%20Transaction%20Model%204-14-21_TE%20v5_JWH%20(Final%20for%20Pre-Close%20Memo)_v4%20(has%20JE%20refreshed%20for%20date%20updat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QCSISD/Branch/TFB/SHARED/FUELS/Low_Carbon_Fuel_Standard/Methods%202A-2B/Applicants/LNG-CNG-RNG/01_LNG-CNG-RNG_Issues/Copy%20of%20Biomethane%20LCFS%20Credit%20Gen%200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 Year Operation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 Schedu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puts"/>
      <sheetName val="Project Roll Up"/>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Timelin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terature"/>
      <sheetName val="Pivot_RFS Program"/>
      <sheetName val="Additional Fuels GREET"/>
      <sheetName val="RFS Program-AllPathways-Raw"/>
      <sheetName val="LCA for  PAR Haw. Elec Contract"/>
      <sheetName val="PBT for Haw ELectric"/>
      <sheetName val="Unit Conversions"/>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nomic Summary"/>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RA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9-0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NG-Oil Analysis - Fuel Input"/>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Production Data"/>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Portfoli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O-Dynamic P1 Allocations v2"/>
      <sheetName val="OSO-Dynamic P1 Proforma"/>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642.714269675926" backgroundQuery="1" createdVersion="8" refreshedVersion="8" minRefreshableVersion="3" recordCount="0" supportSubquery="1" supportAdvancedDrill="1" xr:uid="{8172DCCD-E2DA-4C69-90E1-1F60CFFBA61D}">
  <cacheSource type="external" connectionId="1"/>
  <cacheFields count="5">
    <cacheField name="[Range 3].[Supply Chain Point].[Supply Chain Point]" caption="Supply Chain Point" numFmtId="0" hierarchy="20" level="1">
      <sharedItems count="11">
        <s v="Fuel - Combustion"/>
        <s v="Refinery - Residual Oil"/>
        <s v="TOTAL"/>
        <s v="Transport - Crude"/>
        <s v="Upstream - Crude Production"/>
        <s v="Gasified  NG T&amp;D to Power Plant"/>
        <s v="Liquefaction"/>
        <s v="LNG Regasification"/>
        <s v="LNG Storage"/>
        <s v="LNG T&amp;D"/>
        <s v="Upstream+ Midstream - NG Production"/>
      </sharedItems>
    </cacheField>
    <cacheField name="[Range 3].[Fuel Type].[Fuel Type]" caption="Fuel Type" numFmtId="0" hierarchy="22" level="1">
      <sharedItems count="2">
        <s v="Crude"/>
        <s v="LNG"/>
      </sharedItems>
    </cacheField>
    <cacheField name="[Range 3].[GWP].[GWP]" caption="GWP" numFmtId="0" hierarchy="23" level="1">
      <sharedItems containsSemiMixedTypes="0" containsString="0" containsNumber="1" containsInteger="1" minValue="20" maxValue="100" count="2">
        <n v="20"/>
        <n v="100"/>
      </sharedItems>
      <extLst>
        <ext xmlns:x15="http://schemas.microsoft.com/office/spreadsheetml/2010/11/main" uri="{4F2E5C28-24EA-4eb8-9CBF-B6C8F9C3D259}">
          <x15:cachedUniqueNames>
            <x15:cachedUniqueName index="0" name="[Range 3].[GWP].&amp;[20]"/>
            <x15:cachedUniqueName index="1" name="[Range 3].[GWP].&amp;[100]"/>
          </x15:cachedUniqueNames>
        </ext>
      </extLst>
    </cacheField>
    <cacheField name="[Measures].[Average of CI (kg Co2e/mmbtu fuel)]" caption="Average of CI (kg Co2e/mmbtu fuel)" numFmtId="0" hierarchy="43" level="32767"/>
    <cacheField name="[Measures].[Average of CI (kg CO2e/mmbtu elec)]" caption="Average of CI (kg CO2e/mmbtu elec)" numFmtId="0" hierarchy="44" level="32767"/>
  </cacheFields>
  <cacheHierarchies count="59">
    <cacheHierarchy uniqueName="[Range].[Sources]" caption="Sources" attribute="1" defaultMemberUniqueName="[Range].[Sources].[All]" allUniqueName="[Range].[Sources].[All]" dimensionUniqueName="[Range]" displayFolder="" count="0" memberValueDatatype="130" unbalanced="0"/>
    <cacheHierarchy uniqueName="[Range].[Supply Chain Point]" caption="Supply Chain Point" attribute="1" defaultMemberUniqueName="[Range].[Supply Chain Point].[All]" allUniqueName="[Range].[Supply Chain Point].[All]" dimensionUniqueName="[Range]" displayFolder="" count="0" memberValueDatatype="130" unbalanced="0"/>
    <cacheHierarchy uniqueName="[Range].[CI (kg Co2e/mmbtu fuel)]" caption="CI (kg Co2e/mmbtu fuel)" attribute="1" defaultMemberUniqueName="[Range].[CI (kg Co2e/mmbtu fuel)].[All]" allUniqueName="[Range].[CI (kg Co2e/mmbtu fuel)].[All]" dimensionUniqueName="[Range]" displayFolder="" count="0" memberValueDatatype="5" unbalanced="0"/>
    <cacheHierarchy uniqueName="[Range].[Fuel Type]" caption="Fuel Type" attribute="1" defaultMemberUniqueName="[Range].[Fuel Type].[All]" allUniqueName="[Range].[Fuel Type].[All]" dimensionUniqueName="[Range]" displayFolder="" count="0" memberValueDatatype="130" unbalanced="0"/>
    <cacheHierarchy uniqueName="[Range].[GWP]" caption="GWP" attribute="1" defaultMemberUniqueName="[Range].[GWP].[All]" allUniqueName="[Range].[GWP].[All]" dimensionUniqueName="[Range]" displayFolder="" count="0" memberValueDatatype="20" unbalanced="0"/>
    <cacheHierarchy uniqueName="[Range].[CI (kg CO2e/mmbtu elec)]" caption="CI (kg CO2e/mmbtu elec)" attribute="1" defaultMemberUniqueName="[Range].[CI (kg CO2e/mmbtu elec)].[All]" allUniqueName="[Range].[CI (kg CO2e/mmbtu elec)].[All]" dimensionUniqueName="[Range]" displayFolder="" count="0" memberValueDatatype="5" unbalanced="0"/>
    <cacheHierarchy uniqueName="[Range].[CI (g CO2e /kWh)]" caption="CI (g CO2e /kWh)" attribute="1" defaultMemberUniqueName="[Range].[CI (g CO2e /kWh)].[All]" allUniqueName="[Range].[CI (g CO2e /kWh)].[All]" dimensionUniqueName="[Range]" displayFolder="" count="0" memberValueDatatype="5" unbalanced="0"/>
    <cacheHierarchy uniqueName="[Range 1].[Sources]" caption="Sources" attribute="1" defaultMemberUniqueName="[Range 1].[Sources].[All]" allUniqueName="[Range 1].[Sources].[All]" dimensionUniqueName="[Range 1]" displayFolder="" count="0" memberValueDatatype="130" unbalanced="0"/>
    <cacheHierarchy uniqueName="[Range 1].[Unit]" caption="Unit" attribute="1" defaultMemberUniqueName="[Range 1].[Unit].[All]" allUniqueName="[Range 1].[Unit].[All]" dimensionUniqueName="[Range 1]" displayFolder="" count="0" memberValueDatatype="130" unbalanced="0"/>
    <cacheHierarchy uniqueName="[Range 1].[Supply Chain Point]" caption="Supply Chain Point" attribute="1" defaultMemberUniqueName="[Range 1].[Supply Chain Point].[All]" allUniqueName="[Range 1].[Supply Chain Point].[All]" dimensionUniqueName="[Range 1]" displayFolder="" count="0" memberValueDatatype="130" unbalanced="0"/>
    <cacheHierarchy uniqueName="[Range 1].[CI]" caption="CI" attribute="1" defaultMemberUniqueName="[Range 1].[CI].[All]" allUniqueName="[Range 1].[CI].[All]" dimensionUniqueName="[Range 1]" displayFolder="" count="0" memberValueDatatype="5" unbalanced="0"/>
    <cacheHierarchy uniqueName="[Range 1].[Fuel Type]" caption="Fuel Type" attribute="1" defaultMemberUniqueName="[Range 1].[Fuel Type].[All]" allUniqueName="[Range 1].[Fuel Type].[All]" dimensionUniqueName="[Range 1]" displayFolder="" count="0" memberValueDatatype="130" unbalanced="0"/>
    <cacheHierarchy uniqueName="[Range 1].[GWP]" caption="GWP" attribute="1" defaultMemberUniqueName="[Range 1].[GWP].[All]" allUniqueName="[Range 1].[GWP].[All]" dimensionUniqueName="[Range 1]" displayFolder="" count="0" memberValueDatatype="20" unbalanced="0"/>
    <cacheHierarchy uniqueName="[Range 2].[Sources]" caption="Sources" attribute="1" defaultMemberUniqueName="[Range 2].[Sources].[All]" allUniqueName="[Range 2].[Sources].[All]" dimensionUniqueName="[Range 2]" displayFolder="" count="0" memberValueDatatype="130" unbalanced="0"/>
    <cacheHierarchy uniqueName="[Range 2].[Supply Chain Point]" caption="Supply Chain Point" attribute="1" defaultMemberUniqueName="[Range 2].[Supply Chain Point].[All]" allUniqueName="[Range 2].[Supply Chain Point].[All]" dimensionUniqueName="[Range 2]" displayFolder="" count="0" memberValueDatatype="130" unbalanced="0"/>
    <cacheHierarchy uniqueName="[Range 2].[CI (kg Co2e/mmbtu fuel)]" caption="CI (kg Co2e/mmbtu fuel)" attribute="1" defaultMemberUniqueName="[Range 2].[CI (kg Co2e/mmbtu fuel)].[All]" allUniqueName="[Range 2].[CI (kg Co2e/mmbtu fuel)].[All]" dimensionUniqueName="[Range 2]" displayFolder="" count="0" memberValueDatatype="5" unbalanced="0"/>
    <cacheHierarchy uniqueName="[Range 2].[Fuel Type]" caption="Fuel Type" attribute="1" defaultMemberUniqueName="[Range 2].[Fuel Type].[All]" allUniqueName="[Range 2].[Fuel Type].[All]" dimensionUniqueName="[Range 2]" displayFolder="" count="0" memberValueDatatype="130" unbalanced="0"/>
    <cacheHierarchy uniqueName="[Range 2].[GWP]" caption="GWP" attribute="1" defaultMemberUniqueName="[Range 2].[GWP].[All]" allUniqueName="[Range 2].[GWP].[All]" dimensionUniqueName="[Range 2]" displayFolder="" count="0" memberValueDatatype="20" unbalanced="0"/>
    <cacheHierarchy uniqueName="[Range 2].[CI (kg CO2e/mmbtu elec)*]" caption="CI (kg CO2e/mmbtu elec)*" attribute="1" defaultMemberUniqueName="[Range 2].[CI (kg CO2e/mmbtu elec)*].[All]" allUniqueName="[Range 2].[CI (kg CO2e/mmbtu elec)*].[All]" dimensionUniqueName="[Range 2]" displayFolder="" count="0" memberValueDatatype="5" unbalanced="0"/>
    <cacheHierarchy uniqueName="[Range 3].[Sources]" caption="Sources" attribute="1" defaultMemberUniqueName="[Range 3].[Sources].[All]" allUniqueName="[Range 3].[Sources].[All]" dimensionUniqueName="[Range 3]" displayFolder="" count="0" memberValueDatatype="130" unbalanced="0"/>
    <cacheHierarchy uniqueName="[Range 3].[Supply Chain Point]" caption="Supply Chain Point" attribute="1" defaultMemberUniqueName="[Range 3].[Supply Chain Point].[All]" allUniqueName="[Range 3].[Supply Chain Point].[All]" dimensionUniqueName="[Range 3]" displayFolder="" count="2" memberValueDatatype="130" unbalanced="0">
      <fieldsUsage count="2">
        <fieldUsage x="-1"/>
        <fieldUsage x="0"/>
      </fieldsUsage>
    </cacheHierarchy>
    <cacheHierarchy uniqueName="[Range 3].[CI (kg Co2e/mmbtu fuel)]" caption="CI (kg Co2e/mmbtu fuel)" attribute="1" defaultMemberUniqueName="[Range 3].[CI (kg Co2e/mmbtu fuel)].[All]" allUniqueName="[Range 3].[CI (kg Co2e/mmbtu fuel)].[All]" dimensionUniqueName="[Range 3]" displayFolder="" count="0" memberValueDatatype="5" unbalanced="0"/>
    <cacheHierarchy uniqueName="[Range 3].[Fuel Type]" caption="Fuel Type" attribute="1" defaultMemberUniqueName="[Range 3].[Fuel Type].[All]" allUniqueName="[Range 3].[Fuel Type].[All]" dimensionUniqueName="[Range 3]" displayFolder="" count="2" memberValueDatatype="130" unbalanced="0">
      <fieldsUsage count="2">
        <fieldUsage x="-1"/>
        <fieldUsage x="1"/>
      </fieldsUsage>
    </cacheHierarchy>
    <cacheHierarchy uniqueName="[Range 3].[GWP]" caption="GWP" attribute="1" defaultMemberUniqueName="[Range 3].[GWP].[All]" allUniqueName="[Range 3].[GWP].[All]" dimensionUniqueName="[Range 3]" displayFolder="" count="2" memberValueDatatype="20" unbalanced="0">
      <fieldsUsage count="2">
        <fieldUsage x="-1"/>
        <fieldUsage x="2"/>
      </fieldsUsage>
    </cacheHierarchy>
    <cacheHierarchy uniqueName="[Range 3].[CI (kg CO2e/mmbtu elec)]" caption="CI (kg CO2e/mmbtu elec)" attribute="1" defaultMemberUniqueName="[Range 3].[CI (kg CO2e/mmbtu elec)].[All]" allUniqueName="[Range 3].[CI (kg CO2e/mmbtu elec)].[All]" dimensionUniqueName="[Range 3]" displayFolder="" count="0" memberValueDatatype="5" unbalanced="0"/>
    <cacheHierarchy uniqueName="[Range 4].[Sources]" caption="Sources" attribute="1" defaultMemberUniqueName="[Range 4].[Sources].[All]" allUniqueName="[Range 4].[Sources].[All]" dimensionUniqueName="[Range 4]" displayFolder="" count="0" memberValueDatatype="130" unbalanced="0"/>
    <cacheHierarchy uniqueName="[Range 4].[Supply Chain Point]" caption="Supply Chain Point" attribute="1" defaultMemberUniqueName="[Range 4].[Supply Chain Point].[All]" allUniqueName="[Range 4].[Supply Chain Point].[All]" dimensionUniqueName="[Range 4]" displayFolder="" count="0" memberValueDatatype="130" unbalanced="0"/>
    <cacheHierarchy uniqueName="[Range 4].[CI (kg Co2e/mmbtu fuel)]" caption="CI (kg Co2e/mmbtu fuel)" attribute="1" defaultMemberUniqueName="[Range 4].[CI (kg Co2e/mmbtu fuel)].[All]" allUniqueName="[Range 4].[CI (kg Co2e/mmbtu fuel)].[All]" dimensionUniqueName="[Range 4]" displayFolder="" count="0" memberValueDatatype="5" unbalanced="0"/>
    <cacheHierarchy uniqueName="[Range 4].[Fuel Type]" caption="Fuel Type" attribute="1" defaultMemberUniqueName="[Range 4].[Fuel Type].[All]" allUniqueName="[Range 4].[Fuel Type].[All]" dimensionUniqueName="[Range 4]" displayFolder="" count="0" memberValueDatatype="130" unbalanced="0"/>
    <cacheHierarchy uniqueName="[Range 4].[GWP]" caption="GWP" attribute="1" defaultMemberUniqueName="[Range 4].[GWP].[All]" allUniqueName="[Range 4].[GWP].[All]" dimensionUniqueName="[Range 4]" displayFolder="" count="0" memberValueDatatype="2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2]" caption="__XL_Count Range 2" measure="1" displayFolder="" measureGroup="Range 2" count="0" hidden="1"/>
    <cacheHierarchy uniqueName="[Measures].[__XL_Count Range 4]" caption="__XL_Count Range 4" measure="1" displayFolder="" measureGroup="Range 4"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GWP 2]" caption="Sum of GWP 2" measure="1" displayFolder="" measureGroup="Range 1" count="0" hidden="1">
      <extLst>
        <ext xmlns:x15="http://schemas.microsoft.com/office/spreadsheetml/2010/11/main" uri="{B97F6D7D-B522-45F9-BDA1-12C45D357490}">
          <x15:cacheHierarchy aggregatedColumn="12"/>
        </ext>
      </extLst>
    </cacheHierarchy>
    <cacheHierarchy uniqueName="[Measures].[Sum of CI]" caption="Sum of CI" measure="1" displayFolder="" measureGroup="Range 1" count="0" hidden="1">
      <extLst>
        <ext xmlns:x15="http://schemas.microsoft.com/office/spreadsheetml/2010/11/main" uri="{B97F6D7D-B522-45F9-BDA1-12C45D357490}">
          <x15:cacheHierarchy aggregatedColumn="10"/>
        </ext>
      </extLst>
    </cacheHierarchy>
    <cacheHierarchy uniqueName="[Measures].[Average of CI]" caption="Average of CI" measure="1" displayFolder="" measureGroup="Range 1" count="0" hidden="1">
      <extLst>
        <ext xmlns:x15="http://schemas.microsoft.com/office/spreadsheetml/2010/11/main" uri="{B97F6D7D-B522-45F9-BDA1-12C45D357490}">
          <x15:cacheHierarchy aggregatedColumn="10"/>
        </ext>
      </extLst>
    </cacheHierarchy>
    <cacheHierarchy uniqueName="[Measures].[Max of CI]" caption="Max of CI" measure="1" displayFolder="" measureGroup="Range 1" count="0" hidden="1">
      <extLst>
        <ext xmlns:x15="http://schemas.microsoft.com/office/spreadsheetml/2010/11/main" uri="{B97F6D7D-B522-45F9-BDA1-12C45D357490}">
          <x15:cacheHierarchy aggregatedColumn="10"/>
        </ext>
      </extLst>
    </cacheHierarchy>
    <cacheHierarchy uniqueName="[Measures].[Sum of GWP 3]" caption="Sum of GWP 3" measure="1" displayFolder="" measureGroup="Range 3" count="0" hidden="1">
      <extLst>
        <ext xmlns:x15="http://schemas.microsoft.com/office/spreadsheetml/2010/11/main" uri="{B97F6D7D-B522-45F9-BDA1-12C45D357490}">
          <x15:cacheHierarchy aggregatedColumn="23"/>
        </ext>
      </extLst>
    </cacheHierarchy>
    <cacheHierarchy uniqueName="[Measures].[Sum of CI (kg Co2e/mmbtu fuel)]" caption="Sum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Sum of CI (kg CO2e/mmbtu elec)]" caption="Sum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Average of CI (kg Co2e/mmbtu fuel)]" caption="Average of CI (kg Co2e/mmbtu fuel)" measure="1" displayFolder="" measureGroup="Range 3" count="0" oneField="1" hidden="1">
      <fieldsUsage count="1">
        <fieldUsage x="3"/>
      </fieldsUsage>
      <extLst>
        <ext xmlns:x15="http://schemas.microsoft.com/office/spreadsheetml/2010/11/main" uri="{B97F6D7D-B522-45F9-BDA1-12C45D357490}">
          <x15:cacheHierarchy aggregatedColumn="21"/>
        </ext>
      </extLst>
    </cacheHierarchy>
    <cacheHierarchy uniqueName="[Measures].[Average of CI (kg CO2e/mmbtu elec)]" caption="Average of CI (kg CO2e/mmbtu elec)" measure="1" displayFolder="" measureGroup="Range 3" count="0" oneField="1" hidden="1">
      <fieldsUsage count="1">
        <fieldUsage x="4"/>
      </fieldsUsage>
      <extLst>
        <ext xmlns:x15="http://schemas.microsoft.com/office/spreadsheetml/2010/11/main" uri="{B97F6D7D-B522-45F9-BDA1-12C45D357490}">
          <x15:cacheHierarchy aggregatedColumn="24"/>
        </ext>
      </extLst>
    </cacheHierarchy>
    <cacheHierarchy uniqueName="[Measures].[Sum of GWP 4]" caption="Sum of GWP 4" measure="1" displayFolder="" measureGroup="Range 2" count="0" hidden="1">
      <extLst>
        <ext xmlns:x15="http://schemas.microsoft.com/office/spreadsheetml/2010/11/main" uri="{B97F6D7D-B522-45F9-BDA1-12C45D357490}">
          <x15:cacheHierarchy aggregatedColumn="17"/>
        </ext>
      </extLst>
    </cacheHierarchy>
    <cacheHierarchy uniqueName="[Measures].[Sum of CI (kg Co2e/mmbtu fuel) 2]" caption="Sum of CI (kg Co2e/mmbtu fuel) 2" measure="1" displayFolder="" measureGroup="Range 2" count="0" hidden="1">
      <extLst>
        <ext xmlns:x15="http://schemas.microsoft.com/office/spreadsheetml/2010/11/main" uri="{B97F6D7D-B522-45F9-BDA1-12C45D357490}">
          <x15:cacheHierarchy aggregatedColumn="15"/>
        </ext>
      </extLst>
    </cacheHierarchy>
    <cacheHierarchy uniqueName="[Measures].[Sum of CI (kg CO2e/mmbtu elec)*]" caption="Sum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Average of CI (kg CO2e/mmbtu elec)*]" caption="Average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Sum of GWP 5]" caption="Sum of GWP 5" measure="1" displayFolder="" measureGroup="Range 4" count="0" hidden="1">
      <extLst>
        <ext xmlns:x15="http://schemas.microsoft.com/office/spreadsheetml/2010/11/main" uri="{B97F6D7D-B522-45F9-BDA1-12C45D357490}">
          <x15:cacheHierarchy aggregatedColumn="29"/>
        </ext>
      </extLst>
    </cacheHierarchy>
    <cacheHierarchy uniqueName="[Measures].[Sum of CI (kg Co2e/mmbtu fuel) 3]" caption="Sum of CI (kg Co2e/mmbtu fuel) 3" measure="1" displayFolder="" measureGroup="Range 4" count="0" hidden="1">
      <extLst>
        <ext xmlns:x15="http://schemas.microsoft.com/office/spreadsheetml/2010/11/main" uri="{B97F6D7D-B522-45F9-BDA1-12C45D357490}">
          <x15:cacheHierarchy aggregatedColumn="27"/>
        </ext>
      </extLst>
    </cacheHierarchy>
    <cacheHierarchy uniqueName="[Measures].[Average of CI (kg Co2e/mmbtu fuel) 2]" caption="Average of CI (kg Co2e/mmbtu fuel) 2" measure="1" displayFolder="" measureGroup="Range 4" count="0" hidden="1">
      <extLst>
        <ext xmlns:x15="http://schemas.microsoft.com/office/spreadsheetml/2010/11/main" uri="{B97F6D7D-B522-45F9-BDA1-12C45D357490}">
          <x15:cacheHierarchy aggregatedColumn="27"/>
        </ext>
      </extLst>
    </cacheHierarchy>
    <cacheHierarchy uniqueName="[Measures].[Sum of GWP]" caption="Sum of GWP" measure="1" displayFolder="" measureGroup="Range" count="0" hidden="1">
      <extLst>
        <ext xmlns:x15="http://schemas.microsoft.com/office/spreadsheetml/2010/11/main" uri="{B97F6D7D-B522-45F9-BDA1-12C45D357490}">
          <x15:cacheHierarchy aggregatedColumn="4"/>
        </ext>
      </extLst>
    </cacheHierarchy>
    <cacheHierarchy uniqueName="[Measures].[Sum of CI (g CO2e /kWh)]" caption="Sum of CI (g CO2e /kWh)" measure="1" displayFolder="" measureGroup="Range" count="0" hidden="1">
      <extLst>
        <ext xmlns:x15="http://schemas.microsoft.com/office/spreadsheetml/2010/11/main" uri="{B97F6D7D-B522-45F9-BDA1-12C45D357490}">
          <x15:cacheHierarchy aggregatedColumn="6"/>
        </ext>
      </extLst>
    </cacheHierarchy>
    <cacheHierarchy uniqueName="[Measures].[Average of CI (g CO2e /kWh)]" caption="Average of CI (g CO2e /kWh)" measure="1" displayFolder="" measureGroup="Range" count="0" hidden="1">
      <extLst>
        <ext xmlns:x15="http://schemas.microsoft.com/office/spreadsheetml/2010/11/main" uri="{B97F6D7D-B522-45F9-BDA1-12C45D357490}">
          <x15:cacheHierarchy aggregatedColumn="6"/>
        </ext>
      </extLst>
    </cacheHierarchy>
    <cacheHierarchy uniqueName="[Measures].[Sum of CI (kg Co2e/mmbtu fuel) 4]" caption="Sum of CI (kg Co2e/mmbtu fuel) 4" measure="1" displayFolder="" measureGroup="Range" count="0" hidden="1">
      <extLst>
        <ext xmlns:x15="http://schemas.microsoft.com/office/spreadsheetml/2010/11/main" uri="{B97F6D7D-B522-45F9-BDA1-12C45D357490}">
          <x15:cacheHierarchy aggregatedColumn="2"/>
        </ext>
      </extLst>
    </cacheHierarchy>
    <cacheHierarchy uniqueName="[Measures].[Average of CI (kg Co2e/mmbtu fuel) 3]" caption="Average of CI (kg Co2e/mmbtu fuel) 3" measure="1" displayFolder="" measureGroup="Range" count="0" hidden="1">
      <extLst>
        <ext xmlns:x15="http://schemas.microsoft.com/office/spreadsheetml/2010/11/main" uri="{B97F6D7D-B522-45F9-BDA1-12C45D357490}">
          <x15:cacheHierarchy aggregatedColumn="2"/>
        </ext>
      </extLst>
    </cacheHierarchy>
    <cacheHierarchy uniqueName="[Measures].[Sum of CI (kg CO2e/mmbtu elec) 2]" caption="Sum of CI (kg CO2e/mmbtu elec) 2" measure="1" displayFolder="" measureGroup="Range" count="0" hidden="1">
      <extLst>
        <ext xmlns:x15="http://schemas.microsoft.com/office/spreadsheetml/2010/11/main" uri="{B97F6D7D-B522-45F9-BDA1-12C45D357490}">
          <x15:cacheHierarchy aggregatedColumn="5"/>
        </ext>
      </extLst>
    </cacheHierarchy>
    <cacheHierarchy uniqueName="[Measures].[Average of CI (kg CO2e/mmbtu elec) 2]" caption="Average of CI (kg CO2e/mmbtu elec) 2" measure="1" displayFolder="" measureGroup="Range" count="0" hidden="1">
      <extLst>
        <ext xmlns:x15="http://schemas.microsoft.com/office/spreadsheetml/2010/11/main" uri="{B97F6D7D-B522-45F9-BDA1-12C45D357490}">
          <x15:cacheHierarchy aggregatedColumn="5"/>
        </ext>
      </extLst>
    </cacheHierarchy>
  </cacheHierarchies>
  <kpis count="0"/>
  <dimensions count="6">
    <dimension measure="1" name="Measures" uniqueName="[Measures]" caption="Measures"/>
    <dimension name="Range" uniqueName="[Range]" caption="Range"/>
    <dimension name="Range 1" uniqueName="[Range 1]" caption="Range 1"/>
    <dimension name="Range 2" uniqueName="[Range 2]" caption="Range 2"/>
    <dimension name="Range 3" uniqueName="[Range 3]" caption="Range 3"/>
    <dimension name="Range 4" uniqueName="[Range 4]" caption="Range 4"/>
  </dimensions>
  <measureGroups count="5">
    <measureGroup name="Range" caption="Range"/>
    <measureGroup name="Range 1" caption="Range 1"/>
    <measureGroup name="Range 2" caption="Range 2"/>
    <measureGroup name="Range 3" caption="Range 3"/>
    <measureGroup name="Range 4" caption="Range 4"/>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48.762481365738" createdVersion="8" refreshedVersion="8" minRefreshableVersion="3" recordCount="167" xr:uid="{D1F0F544-3761-45E5-AC69-266F0AC9326A}">
  <cacheSource type="worksheet">
    <worksheetSource ref="A1:F1048576" sheet="Adjustable_HeatRate_CI"/>
  </cacheSource>
  <cacheFields count="6">
    <cacheField name="Sources" numFmtId="0">
      <sharedItems containsBlank="1" count="14">
        <s v="ANL GREET Default"/>
        <s v="RMI/OCI+ (AUS) and GREET Hybrid"/>
        <s v="RMI/OCI+ (CAN - Montney BC) and GREET Hybrid"/>
        <s v="EPA Report and Customized GREET"/>
        <s v="RMI/OCI+ (all countries)"/>
        <s v="RMI/OCI+ LBY"/>
        <s v="RMI/OCI+ ARG"/>
        <s v="RMI/OCI+ and GREET Hybrid"/>
        <s v="RMI/OCI+ and GREET Hybrid LBY"/>
        <s v="RMI/OCI+ and GREET Hybrid ARG"/>
        <s v="NOIA Report and GREET Hybrid"/>
        <s v="NOIA Report and GREET Hybrid LBY"/>
        <s v="NOIA Report and GREET Hybrid ARG"/>
        <m/>
      </sharedItems>
    </cacheField>
    <cacheField name="Supply Chain Point" numFmtId="0">
      <sharedItems containsBlank="1" count="12">
        <s v="Upstream+ Midstream - NG Production"/>
        <s v="Liquefaction"/>
        <s v="LNG T&amp;D"/>
        <s v="LNG Storage"/>
        <s v="LNG Regasification"/>
        <s v="Gasified  NG T&amp;D to Power Plant"/>
        <s v="Fuel - Combustion"/>
        <s v="TOTAL"/>
        <s v="Upstream - Crude Production"/>
        <s v="Transport - Crude"/>
        <s v="Refinery - Residual Oil"/>
        <m/>
      </sharedItems>
    </cacheField>
    <cacheField name="CI (kg Co2e/mmbtu fuel)" numFmtId="0">
      <sharedItems containsString="0" containsBlank="1" containsNumber="1" minValue="0.3465996442385077" maxValue="124.47669449162576"/>
    </cacheField>
    <cacheField name="Fuel Type" numFmtId="0">
      <sharedItems containsBlank="1" count="3">
        <s v="LNG"/>
        <s v="Crude"/>
        <m/>
      </sharedItems>
    </cacheField>
    <cacheField name="GWP" numFmtId="0">
      <sharedItems containsString="0" containsBlank="1" containsNumber="1" containsInteger="1" minValue="20" maxValue="100" count="3">
        <n v="20"/>
        <n v="100"/>
        <m/>
      </sharedItems>
    </cacheField>
    <cacheField name="CI (kg CO2e/mmbtu elec)" numFmtId="0">
      <sharedItems containsString="0" containsBlank="1" containsNumber="1" minValue="0.7964878303118571" maxValue="407.375013881573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650.479338194447" backgroundQuery="1" createdVersion="8" refreshedVersion="8" minRefreshableVersion="3" recordCount="0" supportSubquery="1" supportAdvancedDrill="1" xr:uid="{CFAC6602-CC34-4780-843E-027BC8D469FF}">
  <cacheSource type="external" connectionId="1"/>
  <cacheFields count="5">
    <cacheField name="[Range].[Fuel Type].[Fuel Type]" caption="Fuel Type" numFmtId="0" hierarchy="3" level="1">
      <sharedItems count="2">
        <s v="Crude"/>
        <s v="LNG"/>
      </sharedItems>
    </cacheField>
    <cacheField name="[Range].[GWP].[GWP]" caption="GWP" numFmtId="0" hierarchy="4" level="1">
      <sharedItems containsSemiMixedTypes="0" containsString="0" containsNumber="1" containsInteger="1" minValue="20" maxValue="100" count="2">
        <n v="20"/>
        <n v="100"/>
      </sharedItems>
      <extLst>
        <ext xmlns:x15="http://schemas.microsoft.com/office/spreadsheetml/2010/11/main" uri="{4F2E5C28-24EA-4eb8-9CBF-B6C8F9C3D259}">
          <x15:cachedUniqueNames>
            <x15:cachedUniqueName index="0" name="[Range].[GWP].&amp;[20]"/>
            <x15:cachedUniqueName index="1" name="[Range].[GWP].&amp;[100]"/>
          </x15:cachedUniqueNames>
        </ext>
      </extLst>
    </cacheField>
    <cacheField name="[Measures].[Average of CI (kg Co2e/mmbtu fuel) 3]" caption="Average of CI (kg Co2e/mmbtu fuel) 3" numFmtId="0" hierarchy="56" level="32767"/>
    <cacheField name="[Range].[Supply Chain Point].[Supply Chain Point]" caption="Supply Chain Point" numFmtId="0" hierarchy="1" level="1">
      <sharedItems count="11">
        <s v="Fuel - Combustion"/>
        <s v="Refinery - Residual Oil"/>
        <s v="TOTAL"/>
        <s v="Transport - Crude"/>
        <s v="Upstream - Crude Production"/>
        <s v="Gasified  NG T&amp;D to Power Plant"/>
        <s v="Liquefaction"/>
        <s v="LNG Regasification"/>
        <s v="LNG Storage"/>
        <s v="LNG T&amp;D"/>
        <s v="Upstream+ Midstream - NG Production"/>
      </sharedItems>
    </cacheField>
    <cacheField name="[Measures].[Average of CI (kg CO2e/mmbtu elec) 2]" caption="Average of CI (kg CO2e/mmbtu elec) 2" numFmtId="0" hierarchy="58" level="32767"/>
  </cacheFields>
  <cacheHierarchies count="59">
    <cacheHierarchy uniqueName="[Range].[Sources]" caption="Sources" attribute="1" defaultMemberUniqueName="[Range].[Sources].[All]" allUniqueName="[Range].[Sources].[All]" dimensionUniqueName="[Range]" displayFolder="" count="0" memberValueDatatype="130" unbalanced="0"/>
    <cacheHierarchy uniqueName="[Range].[Supply Chain Point]" caption="Supply Chain Point" attribute="1" defaultMemberUniqueName="[Range].[Supply Chain Point].[All]" allUniqueName="[Range].[Supply Chain Point].[All]" dimensionUniqueName="[Range]" displayFolder="" count="2" memberValueDatatype="130" unbalanced="0">
      <fieldsUsage count="2">
        <fieldUsage x="-1"/>
        <fieldUsage x="3"/>
      </fieldsUsage>
    </cacheHierarchy>
    <cacheHierarchy uniqueName="[Range].[CI (kg Co2e/mmbtu fuel)]" caption="CI (kg Co2e/mmbtu fuel)" attribute="1" defaultMemberUniqueName="[Range].[CI (kg Co2e/mmbtu fuel)].[All]" allUniqueName="[Range].[CI (kg Co2e/mmbtu fuel)].[All]" dimensionUniqueName="[Range]" displayFolder="" count="0" memberValueDatatype="5" unbalanced="0"/>
    <cacheHierarchy uniqueName="[Range].[Fuel Type]" caption="Fuel Type" attribute="1" defaultMemberUniqueName="[Range].[Fuel Type].[All]" allUniqueName="[Range].[Fuel Type].[All]" dimensionUniqueName="[Range]" displayFolder="" count="2" memberValueDatatype="130" unbalanced="0">
      <fieldsUsage count="2">
        <fieldUsage x="-1"/>
        <fieldUsage x="0"/>
      </fieldsUsage>
    </cacheHierarchy>
    <cacheHierarchy uniqueName="[Range].[GWP]" caption="GWP" attribute="1" defaultMemberUniqueName="[Range].[GWP].[All]" allUniqueName="[Range].[GWP].[All]" dimensionUniqueName="[Range]" displayFolder="" count="2" memberValueDatatype="20" unbalanced="0">
      <fieldsUsage count="2">
        <fieldUsage x="-1"/>
        <fieldUsage x="1"/>
      </fieldsUsage>
    </cacheHierarchy>
    <cacheHierarchy uniqueName="[Range].[CI (kg CO2e/mmbtu elec)]" caption="CI (kg CO2e/mmbtu elec)" attribute="1" defaultMemberUniqueName="[Range].[CI (kg CO2e/mmbtu elec)].[All]" allUniqueName="[Range].[CI (kg CO2e/mmbtu elec)].[All]" dimensionUniqueName="[Range]" displayFolder="" count="0" memberValueDatatype="5" unbalanced="0"/>
    <cacheHierarchy uniqueName="[Range].[CI (g CO2e /kWh)]" caption="CI (g CO2e /kWh)" attribute="1" defaultMemberUniqueName="[Range].[CI (g CO2e /kWh)].[All]" allUniqueName="[Range].[CI (g CO2e /kWh)].[All]" dimensionUniqueName="[Range]" displayFolder="" count="0" memberValueDatatype="5" unbalanced="0"/>
    <cacheHierarchy uniqueName="[Range 1].[Sources]" caption="Sources" attribute="1" defaultMemberUniqueName="[Range 1].[Sources].[All]" allUniqueName="[Range 1].[Sources].[All]" dimensionUniqueName="[Range 1]" displayFolder="" count="0" memberValueDatatype="130" unbalanced="0"/>
    <cacheHierarchy uniqueName="[Range 1].[Unit]" caption="Unit" attribute="1" defaultMemberUniqueName="[Range 1].[Unit].[All]" allUniqueName="[Range 1].[Unit].[All]" dimensionUniqueName="[Range 1]" displayFolder="" count="0" memberValueDatatype="130" unbalanced="0"/>
    <cacheHierarchy uniqueName="[Range 1].[Supply Chain Point]" caption="Supply Chain Point" attribute="1" defaultMemberUniqueName="[Range 1].[Supply Chain Point].[All]" allUniqueName="[Range 1].[Supply Chain Point].[All]" dimensionUniqueName="[Range 1]" displayFolder="" count="0" memberValueDatatype="130" unbalanced="0"/>
    <cacheHierarchy uniqueName="[Range 1].[CI]" caption="CI" attribute="1" defaultMemberUniqueName="[Range 1].[CI].[All]" allUniqueName="[Range 1].[CI].[All]" dimensionUniqueName="[Range 1]" displayFolder="" count="0" memberValueDatatype="5" unbalanced="0"/>
    <cacheHierarchy uniqueName="[Range 1].[Fuel Type]" caption="Fuel Type" attribute="1" defaultMemberUniqueName="[Range 1].[Fuel Type].[All]" allUniqueName="[Range 1].[Fuel Type].[All]" dimensionUniqueName="[Range 1]" displayFolder="" count="0" memberValueDatatype="130" unbalanced="0"/>
    <cacheHierarchy uniqueName="[Range 1].[GWP]" caption="GWP" attribute="1" defaultMemberUniqueName="[Range 1].[GWP].[All]" allUniqueName="[Range 1].[GWP].[All]" dimensionUniqueName="[Range 1]" displayFolder="" count="0" memberValueDatatype="20" unbalanced="0"/>
    <cacheHierarchy uniqueName="[Range 2].[Sources]" caption="Sources" attribute="1" defaultMemberUniqueName="[Range 2].[Sources].[All]" allUniqueName="[Range 2].[Sources].[All]" dimensionUniqueName="[Range 2]" displayFolder="" count="0" memberValueDatatype="130" unbalanced="0"/>
    <cacheHierarchy uniqueName="[Range 2].[Supply Chain Point]" caption="Supply Chain Point" attribute="1" defaultMemberUniqueName="[Range 2].[Supply Chain Point].[All]" allUniqueName="[Range 2].[Supply Chain Point].[All]" dimensionUniqueName="[Range 2]" displayFolder="" count="0" memberValueDatatype="130" unbalanced="0"/>
    <cacheHierarchy uniqueName="[Range 2].[CI (kg Co2e/mmbtu fuel)]" caption="CI (kg Co2e/mmbtu fuel)" attribute="1" defaultMemberUniqueName="[Range 2].[CI (kg Co2e/mmbtu fuel)].[All]" allUniqueName="[Range 2].[CI (kg Co2e/mmbtu fuel)].[All]" dimensionUniqueName="[Range 2]" displayFolder="" count="0" memberValueDatatype="5" unbalanced="0"/>
    <cacheHierarchy uniqueName="[Range 2].[Fuel Type]" caption="Fuel Type" attribute="1" defaultMemberUniqueName="[Range 2].[Fuel Type].[All]" allUniqueName="[Range 2].[Fuel Type].[All]" dimensionUniqueName="[Range 2]" displayFolder="" count="0" memberValueDatatype="130" unbalanced="0"/>
    <cacheHierarchy uniqueName="[Range 2].[GWP]" caption="GWP" attribute="1" defaultMemberUniqueName="[Range 2].[GWP].[All]" allUniqueName="[Range 2].[GWP].[All]" dimensionUniqueName="[Range 2]" displayFolder="" count="0" memberValueDatatype="20" unbalanced="0"/>
    <cacheHierarchy uniqueName="[Range 2].[CI (kg CO2e/mmbtu elec)*]" caption="CI (kg CO2e/mmbtu elec)*" attribute="1" defaultMemberUniqueName="[Range 2].[CI (kg CO2e/mmbtu elec)*].[All]" allUniqueName="[Range 2].[CI (kg CO2e/mmbtu elec)*].[All]" dimensionUniqueName="[Range 2]" displayFolder="" count="0" memberValueDatatype="5" unbalanced="0"/>
    <cacheHierarchy uniqueName="[Range 3].[Sources]" caption="Sources" attribute="1" defaultMemberUniqueName="[Range 3].[Sources].[All]" allUniqueName="[Range 3].[Sources].[All]" dimensionUniqueName="[Range 3]" displayFolder="" count="0" memberValueDatatype="130" unbalanced="0"/>
    <cacheHierarchy uniqueName="[Range 3].[Supply Chain Point]" caption="Supply Chain Point" attribute="1" defaultMemberUniqueName="[Range 3].[Supply Chain Point].[All]" allUniqueName="[Range 3].[Supply Chain Point].[All]" dimensionUniqueName="[Range 3]" displayFolder="" count="0" memberValueDatatype="130" unbalanced="0"/>
    <cacheHierarchy uniqueName="[Range 3].[CI (kg Co2e/mmbtu fuel)]" caption="CI (kg Co2e/mmbtu fuel)" attribute="1" defaultMemberUniqueName="[Range 3].[CI (kg Co2e/mmbtu fuel)].[All]" allUniqueName="[Range 3].[CI (kg Co2e/mmbtu fuel)].[All]" dimensionUniqueName="[Range 3]" displayFolder="" count="0" memberValueDatatype="5" unbalanced="0"/>
    <cacheHierarchy uniqueName="[Range 3].[Fuel Type]" caption="Fuel Type" attribute="1" defaultMemberUniqueName="[Range 3].[Fuel Type].[All]" allUniqueName="[Range 3].[Fuel Type].[All]" dimensionUniqueName="[Range 3]" displayFolder="" count="0" memberValueDatatype="130" unbalanced="0"/>
    <cacheHierarchy uniqueName="[Range 3].[GWP]" caption="GWP" attribute="1" defaultMemberUniqueName="[Range 3].[GWP].[All]" allUniqueName="[Range 3].[GWP].[All]" dimensionUniqueName="[Range 3]" displayFolder="" count="0" memberValueDatatype="20" unbalanced="0"/>
    <cacheHierarchy uniqueName="[Range 3].[CI (kg CO2e/mmbtu elec)]" caption="CI (kg CO2e/mmbtu elec)" attribute="1" defaultMemberUniqueName="[Range 3].[CI (kg CO2e/mmbtu elec)].[All]" allUniqueName="[Range 3].[CI (kg CO2e/mmbtu elec)].[All]" dimensionUniqueName="[Range 3]" displayFolder="" count="0" memberValueDatatype="5" unbalanced="0"/>
    <cacheHierarchy uniqueName="[Range 4].[Sources]" caption="Sources" attribute="1" defaultMemberUniqueName="[Range 4].[Sources].[All]" allUniqueName="[Range 4].[Sources].[All]" dimensionUniqueName="[Range 4]" displayFolder="" count="0" memberValueDatatype="130" unbalanced="0"/>
    <cacheHierarchy uniqueName="[Range 4].[Supply Chain Point]" caption="Supply Chain Point" attribute="1" defaultMemberUniqueName="[Range 4].[Supply Chain Point].[All]" allUniqueName="[Range 4].[Supply Chain Point].[All]" dimensionUniqueName="[Range 4]" displayFolder="" count="0" memberValueDatatype="130" unbalanced="0"/>
    <cacheHierarchy uniqueName="[Range 4].[CI (kg Co2e/mmbtu fuel)]" caption="CI (kg Co2e/mmbtu fuel)" attribute="1" defaultMemberUniqueName="[Range 4].[CI (kg Co2e/mmbtu fuel)].[All]" allUniqueName="[Range 4].[CI (kg Co2e/mmbtu fuel)].[All]" dimensionUniqueName="[Range 4]" displayFolder="" count="0" memberValueDatatype="5" unbalanced="0"/>
    <cacheHierarchy uniqueName="[Range 4].[Fuel Type]" caption="Fuel Type" attribute="1" defaultMemberUniqueName="[Range 4].[Fuel Type].[All]" allUniqueName="[Range 4].[Fuel Type].[All]" dimensionUniqueName="[Range 4]" displayFolder="" count="0" memberValueDatatype="130" unbalanced="0"/>
    <cacheHierarchy uniqueName="[Range 4].[GWP]" caption="GWP" attribute="1" defaultMemberUniqueName="[Range 4].[GWP].[All]" allUniqueName="[Range 4].[GWP].[All]" dimensionUniqueName="[Range 4]" displayFolder="" count="0" memberValueDatatype="2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2]" caption="__XL_Count Range 2" measure="1" displayFolder="" measureGroup="Range 2" count="0" hidden="1"/>
    <cacheHierarchy uniqueName="[Measures].[__XL_Count Range 4]" caption="__XL_Count Range 4" measure="1" displayFolder="" measureGroup="Range 4"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GWP 2]" caption="Sum of GWP 2" measure="1" displayFolder="" measureGroup="Range 1" count="0" hidden="1">
      <extLst>
        <ext xmlns:x15="http://schemas.microsoft.com/office/spreadsheetml/2010/11/main" uri="{B97F6D7D-B522-45F9-BDA1-12C45D357490}">
          <x15:cacheHierarchy aggregatedColumn="12"/>
        </ext>
      </extLst>
    </cacheHierarchy>
    <cacheHierarchy uniqueName="[Measures].[Sum of CI]" caption="Sum of CI" measure="1" displayFolder="" measureGroup="Range 1" count="0" hidden="1">
      <extLst>
        <ext xmlns:x15="http://schemas.microsoft.com/office/spreadsheetml/2010/11/main" uri="{B97F6D7D-B522-45F9-BDA1-12C45D357490}">
          <x15:cacheHierarchy aggregatedColumn="10"/>
        </ext>
      </extLst>
    </cacheHierarchy>
    <cacheHierarchy uniqueName="[Measures].[Average of CI]" caption="Average of CI" measure="1" displayFolder="" measureGroup="Range 1" count="0" hidden="1">
      <extLst>
        <ext xmlns:x15="http://schemas.microsoft.com/office/spreadsheetml/2010/11/main" uri="{B97F6D7D-B522-45F9-BDA1-12C45D357490}">
          <x15:cacheHierarchy aggregatedColumn="10"/>
        </ext>
      </extLst>
    </cacheHierarchy>
    <cacheHierarchy uniqueName="[Measures].[Max of CI]" caption="Max of CI" measure="1" displayFolder="" measureGroup="Range 1" count="0" hidden="1">
      <extLst>
        <ext xmlns:x15="http://schemas.microsoft.com/office/spreadsheetml/2010/11/main" uri="{B97F6D7D-B522-45F9-BDA1-12C45D357490}">
          <x15:cacheHierarchy aggregatedColumn="10"/>
        </ext>
      </extLst>
    </cacheHierarchy>
    <cacheHierarchy uniqueName="[Measures].[Sum of GWP 3]" caption="Sum of GWP 3" measure="1" displayFolder="" measureGroup="Range 3" count="0" hidden="1">
      <extLst>
        <ext xmlns:x15="http://schemas.microsoft.com/office/spreadsheetml/2010/11/main" uri="{B97F6D7D-B522-45F9-BDA1-12C45D357490}">
          <x15:cacheHierarchy aggregatedColumn="23"/>
        </ext>
      </extLst>
    </cacheHierarchy>
    <cacheHierarchy uniqueName="[Measures].[Sum of CI (kg Co2e/mmbtu fuel)]" caption="Sum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Sum of CI (kg CO2e/mmbtu elec)]" caption="Sum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Average of CI (kg Co2e/mmbtu fuel)]" caption="Average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Average of CI (kg CO2e/mmbtu elec)]" caption="Average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Sum of GWP 4]" caption="Sum of GWP 4" measure="1" displayFolder="" measureGroup="Range 2" count="0" hidden="1">
      <extLst>
        <ext xmlns:x15="http://schemas.microsoft.com/office/spreadsheetml/2010/11/main" uri="{B97F6D7D-B522-45F9-BDA1-12C45D357490}">
          <x15:cacheHierarchy aggregatedColumn="17"/>
        </ext>
      </extLst>
    </cacheHierarchy>
    <cacheHierarchy uniqueName="[Measures].[Sum of CI (kg Co2e/mmbtu fuel) 2]" caption="Sum of CI (kg Co2e/mmbtu fuel) 2" measure="1" displayFolder="" measureGroup="Range 2" count="0" hidden="1">
      <extLst>
        <ext xmlns:x15="http://schemas.microsoft.com/office/spreadsheetml/2010/11/main" uri="{B97F6D7D-B522-45F9-BDA1-12C45D357490}">
          <x15:cacheHierarchy aggregatedColumn="15"/>
        </ext>
      </extLst>
    </cacheHierarchy>
    <cacheHierarchy uniqueName="[Measures].[Sum of CI (kg CO2e/mmbtu elec)*]" caption="Sum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Average of CI (kg CO2e/mmbtu elec)*]" caption="Average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Sum of GWP 5]" caption="Sum of GWP 5" measure="1" displayFolder="" measureGroup="Range 4" count="0" hidden="1">
      <extLst>
        <ext xmlns:x15="http://schemas.microsoft.com/office/spreadsheetml/2010/11/main" uri="{B97F6D7D-B522-45F9-BDA1-12C45D357490}">
          <x15:cacheHierarchy aggregatedColumn="29"/>
        </ext>
      </extLst>
    </cacheHierarchy>
    <cacheHierarchy uniqueName="[Measures].[Sum of CI (kg Co2e/mmbtu fuel) 3]" caption="Sum of CI (kg Co2e/mmbtu fuel) 3" measure="1" displayFolder="" measureGroup="Range 4" count="0" hidden="1">
      <extLst>
        <ext xmlns:x15="http://schemas.microsoft.com/office/spreadsheetml/2010/11/main" uri="{B97F6D7D-B522-45F9-BDA1-12C45D357490}">
          <x15:cacheHierarchy aggregatedColumn="27"/>
        </ext>
      </extLst>
    </cacheHierarchy>
    <cacheHierarchy uniqueName="[Measures].[Average of CI (kg Co2e/mmbtu fuel) 2]" caption="Average of CI (kg Co2e/mmbtu fuel) 2" measure="1" displayFolder="" measureGroup="Range 4" count="0" hidden="1">
      <extLst>
        <ext xmlns:x15="http://schemas.microsoft.com/office/spreadsheetml/2010/11/main" uri="{B97F6D7D-B522-45F9-BDA1-12C45D357490}">
          <x15:cacheHierarchy aggregatedColumn="27"/>
        </ext>
      </extLst>
    </cacheHierarchy>
    <cacheHierarchy uniqueName="[Measures].[Sum of GWP]" caption="Sum of GWP" measure="1" displayFolder="" measureGroup="Range" count="0" hidden="1">
      <extLst>
        <ext xmlns:x15="http://schemas.microsoft.com/office/spreadsheetml/2010/11/main" uri="{B97F6D7D-B522-45F9-BDA1-12C45D357490}">
          <x15:cacheHierarchy aggregatedColumn="4"/>
        </ext>
      </extLst>
    </cacheHierarchy>
    <cacheHierarchy uniqueName="[Measures].[Sum of CI (g CO2e /kWh)]" caption="Sum of CI (g CO2e /kWh)" measure="1" displayFolder="" measureGroup="Range" count="0" hidden="1">
      <extLst>
        <ext xmlns:x15="http://schemas.microsoft.com/office/spreadsheetml/2010/11/main" uri="{B97F6D7D-B522-45F9-BDA1-12C45D357490}">
          <x15:cacheHierarchy aggregatedColumn="6"/>
        </ext>
      </extLst>
    </cacheHierarchy>
    <cacheHierarchy uniqueName="[Measures].[Average of CI (g CO2e /kWh)]" caption="Average of CI (g CO2e /kWh)" measure="1" displayFolder="" measureGroup="Range" count="0" hidden="1">
      <extLst>
        <ext xmlns:x15="http://schemas.microsoft.com/office/spreadsheetml/2010/11/main" uri="{B97F6D7D-B522-45F9-BDA1-12C45D357490}">
          <x15:cacheHierarchy aggregatedColumn="6"/>
        </ext>
      </extLst>
    </cacheHierarchy>
    <cacheHierarchy uniqueName="[Measures].[Sum of CI (kg Co2e/mmbtu fuel) 4]" caption="Sum of CI (kg Co2e/mmbtu fuel) 4" measure="1" displayFolder="" measureGroup="Range" count="0" hidden="1">
      <extLst>
        <ext xmlns:x15="http://schemas.microsoft.com/office/spreadsheetml/2010/11/main" uri="{B97F6D7D-B522-45F9-BDA1-12C45D357490}">
          <x15:cacheHierarchy aggregatedColumn="2"/>
        </ext>
      </extLst>
    </cacheHierarchy>
    <cacheHierarchy uniqueName="[Measures].[Average of CI (kg Co2e/mmbtu fuel) 3]" caption="Average of CI (kg Co2e/mmbtu fuel) 3" measure="1" displayFolder="" measureGroup="Range" count="0" oneField="1" hidden="1">
      <fieldsUsage count="1">
        <fieldUsage x="2"/>
      </fieldsUsage>
      <extLst>
        <ext xmlns:x15="http://schemas.microsoft.com/office/spreadsheetml/2010/11/main" uri="{B97F6D7D-B522-45F9-BDA1-12C45D357490}">
          <x15:cacheHierarchy aggregatedColumn="2"/>
        </ext>
      </extLst>
    </cacheHierarchy>
    <cacheHierarchy uniqueName="[Measures].[Sum of CI (kg CO2e/mmbtu elec) 2]" caption="Sum of CI (kg CO2e/mmbtu elec) 2" measure="1" displayFolder="" measureGroup="Range" count="0" hidden="1">
      <extLst>
        <ext xmlns:x15="http://schemas.microsoft.com/office/spreadsheetml/2010/11/main" uri="{B97F6D7D-B522-45F9-BDA1-12C45D357490}">
          <x15:cacheHierarchy aggregatedColumn="5"/>
        </ext>
      </extLst>
    </cacheHierarchy>
    <cacheHierarchy uniqueName="[Measures].[Average of CI (kg CO2e/mmbtu elec) 2]" caption="Average of CI (kg CO2e/mmbtu elec) 2" measure="1" displayFolder="" measureGroup="Range"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6">
    <dimension measure="1" name="Measures" uniqueName="[Measures]" caption="Measures"/>
    <dimension name="Range" uniqueName="[Range]" caption="Range"/>
    <dimension name="Range 1" uniqueName="[Range 1]" caption="Range 1"/>
    <dimension name="Range 2" uniqueName="[Range 2]" caption="Range 2"/>
    <dimension name="Range 3" uniqueName="[Range 3]" caption="Range 3"/>
    <dimension name="Range 4" uniqueName="[Range 4]" caption="Range 4"/>
  </dimensions>
  <measureGroups count="5">
    <measureGroup name="Range" caption="Range"/>
    <measureGroup name="Range 1" caption="Range 1"/>
    <measureGroup name="Range 2" caption="Range 2"/>
    <measureGroup name="Range 3" caption="Range 3"/>
    <measureGroup name="Range 4" caption="Range 4"/>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671.63659814815" backgroundQuery="1" createdVersion="8" refreshedVersion="8" minRefreshableVersion="3" recordCount="0" supportSubquery="1" supportAdvancedDrill="1" xr:uid="{7F6973EB-CD07-42A6-982D-F8DA1F316D21}">
  <cacheSource type="external" connectionId="1"/>
  <cacheFields count="5">
    <cacheField name="[Range 3].[Supply Chain Point].[Supply Chain Point]" caption="Supply Chain Point" numFmtId="0" hierarchy="20" level="1">
      <sharedItems count="10">
        <s v="Fuel - Combustion"/>
        <s v="Gasified  NG T&amp;D to Power Plant"/>
        <s v="Liquefaction"/>
        <s v="LNG Regasification"/>
        <s v="LNG Storage"/>
        <s v="LNG T&amp;D"/>
        <s v="Refinery - Residual Oil"/>
        <s v="Transport - Crude"/>
        <s v="Upstream - Crude Production"/>
        <s v="Upstream+ Midstream - NG Production"/>
      </sharedItems>
    </cacheField>
    <cacheField name="[Range].[Fuel Type].[Fuel Type]" caption="Fuel Type" numFmtId="0" hierarchy="3" level="1">
      <sharedItems count="2">
        <s v="Crude"/>
        <s v="LNG"/>
      </sharedItems>
    </cacheField>
    <cacheField name="[Range].[Supply Chain Point].[Supply Chain Point]" caption="Supply Chain Point" numFmtId="0" hierarchy="1" level="1">
      <sharedItems count="11">
        <s v="Fuel - Combustion"/>
        <s v="Gasified  NG T&amp;D to Power Plant"/>
        <s v="Liquefaction"/>
        <s v="LNG Regasification"/>
        <s v="LNG Storage"/>
        <s v="LNG T&amp;D"/>
        <s v="Refinery - Residual Oil"/>
        <s v="Transport - Crude"/>
        <s v="Upstream - Crude Production"/>
        <s v="Upstream+ Midstream - NG Production"/>
        <s v="TOTAL" u="1"/>
      </sharedItems>
    </cacheField>
    <cacheField name="[Range].[GWP].[GWP]" caption="GWP" numFmtId="0" hierarchy="4" level="1">
      <sharedItems containsSemiMixedTypes="0" containsString="0" containsNumber="1" containsInteger="1" minValue="20" maxValue="100" count="2">
        <n v="20"/>
        <n v="100"/>
      </sharedItems>
      <extLst>
        <ext xmlns:x15="http://schemas.microsoft.com/office/spreadsheetml/2010/11/main" uri="{4F2E5C28-24EA-4eb8-9CBF-B6C8F9C3D259}">
          <x15:cachedUniqueNames>
            <x15:cachedUniqueName index="0" name="[Range].[GWP].&amp;[20]"/>
            <x15:cachedUniqueName index="1" name="[Range].[GWP].&amp;[100]"/>
          </x15:cachedUniqueNames>
        </ext>
      </extLst>
    </cacheField>
    <cacheField name="[Measures].[Average of CI (g CO2e /kWh)]" caption="Average of CI (g CO2e /kWh)" numFmtId="0" hierarchy="54" level="32767"/>
  </cacheFields>
  <cacheHierarchies count="59">
    <cacheHierarchy uniqueName="[Range].[Sources]" caption="Sources" attribute="1" defaultMemberUniqueName="[Range].[Sources].[All]" allUniqueName="[Range].[Sources].[All]" dimensionUniqueName="[Range]" displayFolder="" count="0" memberValueDatatype="130" unbalanced="0"/>
    <cacheHierarchy uniqueName="[Range].[Supply Chain Point]" caption="Supply Chain Point" attribute="1" defaultMemberUniqueName="[Range].[Supply Chain Point].[All]" allUniqueName="[Range].[Supply Chain Point].[All]" dimensionUniqueName="[Range]" displayFolder="" count="2" memberValueDatatype="130" unbalanced="0">
      <fieldsUsage count="2">
        <fieldUsage x="-1"/>
        <fieldUsage x="2"/>
      </fieldsUsage>
    </cacheHierarchy>
    <cacheHierarchy uniqueName="[Range].[CI (kg Co2e/mmbtu fuel)]" caption="CI (kg Co2e/mmbtu fuel)" attribute="1" defaultMemberUniqueName="[Range].[CI (kg Co2e/mmbtu fuel)].[All]" allUniqueName="[Range].[CI (kg Co2e/mmbtu fuel)].[All]" dimensionUniqueName="[Range]" displayFolder="" count="0" memberValueDatatype="5" unbalanced="0"/>
    <cacheHierarchy uniqueName="[Range].[Fuel Type]" caption="Fuel Type" attribute="1" defaultMemberUniqueName="[Range].[Fuel Type].[All]" allUniqueName="[Range].[Fuel Type].[All]" dimensionUniqueName="[Range]" displayFolder="" count="2" memberValueDatatype="130" unbalanced="0">
      <fieldsUsage count="2">
        <fieldUsage x="-1"/>
        <fieldUsage x="1"/>
      </fieldsUsage>
    </cacheHierarchy>
    <cacheHierarchy uniqueName="[Range].[GWP]" caption="GWP" attribute="1" defaultMemberUniqueName="[Range].[GWP].[All]" allUniqueName="[Range].[GWP].[All]" dimensionUniqueName="[Range]" displayFolder="" count="2" memberValueDatatype="20" unbalanced="0">
      <fieldsUsage count="2">
        <fieldUsage x="-1"/>
        <fieldUsage x="3"/>
      </fieldsUsage>
    </cacheHierarchy>
    <cacheHierarchy uniqueName="[Range].[CI (kg CO2e/mmbtu elec)]" caption="CI (kg CO2e/mmbtu elec)" attribute="1" defaultMemberUniqueName="[Range].[CI (kg CO2e/mmbtu elec)].[All]" allUniqueName="[Range].[CI (kg CO2e/mmbtu elec)].[All]" dimensionUniqueName="[Range]" displayFolder="" count="0" memberValueDatatype="5" unbalanced="0"/>
    <cacheHierarchy uniqueName="[Range].[CI (g CO2e /kWh)]" caption="CI (g CO2e /kWh)" attribute="1" defaultMemberUniqueName="[Range].[CI (g CO2e /kWh)].[All]" allUniqueName="[Range].[CI (g CO2e /kWh)].[All]" dimensionUniqueName="[Range]" displayFolder="" count="0" memberValueDatatype="5" unbalanced="0"/>
    <cacheHierarchy uniqueName="[Range 1].[Sources]" caption="Sources" attribute="1" defaultMemberUniqueName="[Range 1].[Sources].[All]" allUniqueName="[Range 1].[Sources].[All]" dimensionUniqueName="[Range 1]" displayFolder="" count="0" memberValueDatatype="130" unbalanced="0"/>
    <cacheHierarchy uniqueName="[Range 1].[Unit]" caption="Unit" attribute="1" defaultMemberUniqueName="[Range 1].[Unit].[All]" allUniqueName="[Range 1].[Unit].[All]" dimensionUniqueName="[Range 1]" displayFolder="" count="0" memberValueDatatype="130" unbalanced="0"/>
    <cacheHierarchy uniqueName="[Range 1].[Supply Chain Point]" caption="Supply Chain Point" attribute="1" defaultMemberUniqueName="[Range 1].[Supply Chain Point].[All]" allUniqueName="[Range 1].[Supply Chain Point].[All]" dimensionUniqueName="[Range 1]" displayFolder="" count="0" memberValueDatatype="130" unbalanced="0"/>
    <cacheHierarchy uniqueName="[Range 1].[CI]" caption="CI" attribute="1" defaultMemberUniqueName="[Range 1].[CI].[All]" allUniqueName="[Range 1].[CI].[All]" dimensionUniqueName="[Range 1]" displayFolder="" count="0" memberValueDatatype="5" unbalanced="0"/>
    <cacheHierarchy uniqueName="[Range 1].[Fuel Type]" caption="Fuel Type" attribute="1" defaultMemberUniqueName="[Range 1].[Fuel Type].[All]" allUniqueName="[Range 1].[Fuel Type].[All]" dimensionUniqueName="[Range 1]" displayFolder="" count="0" memberValueDatatype="130" unbalanced="0"/>
    <cacheHierarchy uniqueName="[Range 1].[GWP]" caption="GWP" attribute="1" defaultMemberUniqueName="[Range 1].[GWP].[All]" allUniqueName="[Range 1].[GWP].[All]" dimensionUniqueName="[Range 1]" displayFolder="" count="0" memberValueDatatype="20" unbalanced="0"/>
    <cacheHierarchy uniqueName="[Range 2].[Sources]" caption="Sources" attribute="1" defaultMemberUniqueName="[Range 2].[Sources].[All]" allUniqueName="[Range 2].[Sources].[All]" dimensionUniqueName="[Range 2]" displayFolder="" count="0" memberValueDatatype="130" unbalanced="0"/>
    <cacheHierarchy uniqueName="[Range 2].[Supply Chain Point]" caption="Supply Chain Point" attribute="1" defaultMemberUniqueName="[Range 2].[Supply Chain Point].[All]" allUniqueName="[Range 2].[Supply Chain Point].[All]" dimensionUniqueName="[Range 2]" displayFolder="" count="0" memberValueDatatype="130" unbalanced="0"/>
    <cacheHierarchy uniqueName="[Range 2].[CI (kg Co2e/mmbtu fuel)]" caption="CI (kg Co2e/mmbtu fuel)" attribute="1" defaultMemberUniqueName="[Range 2].[CI (kg Co2e/mmbtu fuel)].[All]" allUniqueName="[Range 2].[CI (kg Co2e/mmbtu fuel)].[All]" dimensionUniqueName="[Range 2]" displayFolder="" count="0" memberValueDatatype="5" unbalanced="0"/>
    <cacheHierarchy uniqueName="[Range 2].[Fuel Type]" caption="Fuel Type" attribute="1" defaultMemberUniqueName="[Range 2].[Fuel Type].[All]" allUniqueName="[Range 2].[Fuel Type].[All]" dimensionUniqueName="[Range 2]" displayFolder="" count="0" memberValueDatatype="130" unbalanced="0"/>
    <cacheHierarchy uniqueName="[Range 2].[GWP]" caption="GWP" attribute="1" defaultMemberUniqueName="[Range 2].[GWP].[All]" allUniqueName="[Range 2].[GWP].[All]" dimensionUniqueName="[Range 2]" displayFolder="" count="0" memberValueDatatype="20" unbalanced="0"/>
    <cacheHierarchy uniqueName="[Range 2].[CI (kg CO2e/mmbtu elec)*]" caption="CI (kg CO2e/mmbtu elec)*" attribute="1" defaultMemberUniqueName="[Range 2].[CI (kg CO2e/mmbtu elec)*].[All]" allUniqueName="[Range 2].[CI (kg CO2e/mmbtu elec)*].[All]" dimensionUniqueName="[Range 2]" displayFolder="" count="0" memberValueDatatype="5" unbalanced="0"/>
    <cacheHierarchy uniqueName="[Range 3].[Sources]" caption="Sources" attribute="1" defaultMemberUniqueName="[Range 3].[Sources].[All]" allUniqueName="[Range 3].[Sources].[All]" dimensionUniqueName="[Range 3]" displayFolder="" count="0" memberValueDatatype="130" unbalanced="0"/>
    <cacheHierarchy uniqueName="[Range 3].[Supply Chain Point]" caption="Supply Chain Point" attribute="1" defaultMemberUniqueName="[Range 3].[Supply Chain Point].[All]" allUniqueName="[Range 3].[Supply Chain Point].[All]" dimensionUniqueName="[Range 3]" displayFolder="" count="2" memberValueDatatype="130" unbalanced="0">
      <fieldsUsage count="2">
        <fieldUsage x="-1"/>
        <fieldUsage x="0"/>
      </fieldsUsage>
    </cacheHierarchy>
    <cacheHierarchy uniqueName="[Range 3].[CI (kg Co2e/mmbtu fuel)]" caption="CI (kg Co2e/mmbtu fuel)" attribute="1" defaultMemberUniqueName="[Range 3].[CI (kg Co2e/mmbtu fuel)].[All]" allUniqueName="[Range 3].[CI (kg Co2e/mmbtu fuel)].[All]" dimensionUniqueName="[Range 3]" displayFolder="" count="0" memberValueDatatype="5" unbalanced="0"/>
    <cacheHierarchy uniqueName="[Range 3].[Fuel Type]" caption="Fuel Type" attribute="1" defaultMemberUniqueName="[Range 3].[Fuel Type].[All]" allUniqueName="[Range 3].[Fuel Type].[All]" dimensionUniqueName="[Range 3]" displayFolder="" count="2" memberValueDatatype="130" unbalanced="0"/>
    <cacheHierarchy uniqueName="[Range 3].[GWP]" caption="GWP" attribute="1" defaultMemberUniqueName="[Range 3].[GWP].[All]" allUniqueName="[Range 3].[GWP].[All]" dimensionUniqueName="[Range 3]" displayFolder="" count="2" memberValueDatatype="20" unbalanced="0"/>
    <cacheHierarchy uniqueName="[Range 3].[CI (kg CO2e/mmbtu elec)]" caption="CI (kg CO2e/mmbtu elec)" attribute="1" defaultMemberUniqueName="[Range 3].[CI (kg CO2e/mmbtu elec)].[All]" allUniqueName="[Range 3].[CI (kg CO2e/mmbtu elec)].[All]" dimensionUniqueName="[Range 3]" displayFolder="" count="0" memberValueDatatype="5" unbalanced="0"/>
    <cacheHierarchy uniqueName="[Range 4].[Sources]" caption="Sources" attribute="1" defaultMemberUniqueName="[Range 4].[Sources].[All]" allUniqueName="[Range 4].[Sources].[All]" dimensionUniqueName="[Range 4]" displayFolder="" count="0" memberValueDatatype="130" unbalanced="0"/>
    <cacheHierarchy uniqueName="[Range 4].[Supply Chain Point]" caption="Supply Chain Point" attribute="1" defaultMemberUniqueName="[Range 4].[Supply Chain Point].[All]" allUniqueName="[Range 4].[Supply Chain Point].[All]" dimensionUniqueName="[Range 4]" displayFolder="" count="0" memberValueDatatype="130" unbalanced="0"/>
    <cacheHierarchy uniqueName="[Range 4].[CI (kg Co2e/mmbtu fuel)]" caption="CI (kg Co2e/mmbtu fuel)" attribute="1" defaultMemberUniqueName="[Range 4].[CI (kg Co2e/mmbtu fuel)].[All]" allUniqueName="[Range 4].[CI (kg Co2e/mmbtu fuel)].[All]" dimensionUniqueName="[Range 4]" displayFolder="" count="0" memberValueDatatype="5" unbalanced="0"/>
    <cacheHierarchy uniqueName="[Range 4].[Fuel Type]" caption="Fuel Type" attribute="1" defaultMemberUniqueName="[Range 4].[Fuel Type].[All]" allUniqueName="[Range 4].[Fuel Type].[All]" dimensionUniqueName="[Range 4]" displayFolder="" count="0" memberValueDatatype="130" unbalanced="0"/>
    <cacheHierarchy uniqueName="[Range 4].[GWP]" caption="GWP" attribute="1" defaultMemberUniqueName="[Range 4].[GWP].[All]" allUniqueName="[Range 4].[GWP].[All]" dimensionUniqueName="[Range 4]" displayFolder="" count="0" memberValueDatatype="2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2]" caption="__XL_Count Range 2" measure="1" displayFolder="" measureGroup="Range 2" count="0" hidden="1"/>
    <cacheHierarchy uniqueName="[Measures].[__XL_Count Range 4]" caption="__XL_Count Range 4" measure="1" displayFolder="" measureGroup="Range 4"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GWP 2]" caption="Sum of GWP 2" measure="1" displayFolder="" measureGroup="Range 1" count="0" hidden="1">
      <extLst>
        <ext xmlns:x15="http://schemas.microsoft.com/office/spreadsheetml/2010/11/main" uri="{B97F6D7D-B522-45F9-BDA1-12C45D357490}">
          <x15:cacheHierarchy aggregatedColumn="12"/>
        </ext>
      </extLst>
    </cacheHierarchy>
    <cacheHierarchy uniqueName="[Measures].[Sum of CI]" caption="Sum of CI" measure="1" displayFolder="" measureGroup="Range 1" count="0" hidden="1">
      <extLst>
        <ext xmlns:x15="http://schemas.microsoft.com/office/spreadsheetml/2010/11/main" uri="{B97F6D7D-B522-45F9-BDA1-12C45D357490}">
          <x15:cacheHierarchy aggregatedColumn="10"/>
        </ext>
      </extLst>
    </cacheHierarchy>
    <cacheHierarchy uniqueName="[Measures].[Average of CI]" caption="Average of CI" measure="1" displayFolder="" measureGroup="Range 1" count="0" hidden="1">
      <extLst>
        <ext xmlns:x15="http://schemas.microsoft.com/office/spreadsheetml/2010/11/main" uri="{B97F6D7D-B522-45F9-BDA1-12C45D357490}">
          <x15:cacheHierarchy aggregatedColumn="10"/>
        </ext>
      </extLst>
    </cacheHierarchy>
    <cacheHierarchy uniqueName="[Measures].[Max of CI]" caption="Max of CI" measure="1" displayFolder="" measureGroup="Range 1" count="0" hidden="1">
      <extLst>
        <ext xmlns:x15="http://schemas.microsoft.com/office/spreadsheetml/2010/11/main" uri="{B97F6D7D-B522-45F9-BDA1-12C45D357490}">
          <x15:cacheHierarchy aggregatedColumn="10"/>
        </ext>
      </extLst>
    </cacheHierarchy>
    <cacheHierarchy uniqueName="[Measures].[Sum of GWP 3]" caption="Sum of GWP 3" measure="1" displayFolder="" measureGroup="Range 3" count="0" hidden="1">
      <extLst>
        <ext xmlns:x15="http://schemas.microsoft.com/office/spreadsheetml/2010/11/main" uri="{B97F6D7D-B522-45F9-BDA1-12C45D357490}">
          <x15:cacheHierarchy aggregatedColumn="23"/>
        </ext>
      </extLst>
    </cacheHierarchy>
    <cacheHierarchy uniqueName="[Measures].[Sum of CI (kg Co2e/mmbtu fuel)]" caption="Sum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Sum of CI (kg CO2e/mmbtu elec)]" caption="Sum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Average of CI (kg Co2e/mmbtu fuel)]" caption="Average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Average of CI (kg CO2e/mmbtu elec)]" caption="Average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Sum of GWP 4]" caption="Sum of GWP 4" measure="1" displayFolder="" measureGroup="Range 2" count="0" hidden="1">
      <extLst>
        <ext xmlns:x15="http://schemas.microsoft.com/office/spreadsheetml/2010/11/main" uri="{B97F6D7D-B522-45F9-BDA1-12C45D357490}">
          <x15:cacheHierarchy aggregatedColumn="17"/>
        </ext>
      </extLst>
    </cacheHierarchy>
    <cacheHierarchy uniqueName="[Measures].[Sum of CI (kg Co2e/mmbtu fuel) 2]" caption="Sum of CI (kg Co2e/mmbtu fuel) 2" measure="1" displayFolder="" measureGroup="Range 2" count="0" hidden="1">
      <extLst>
        <ext xmlns:x15="http://schemas.microsoft.com/office/spreadsheetml/2010/11/main" uri="{B97F6D7D-B522-45F9-BDA1-12C45D357490}">
          <x15:cacheHierarchy aggregatedColumn="15"/>
        </ext>
      </extLst>
    </cacheHierarchy>
    <cacheHierarchy uniqueName="[Measures].[Sum of CI (kg CO2e/mmbtu elec)*]" caption="Sum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Average of CI (kg CO2e/mmbtu elec)*]" caption="Average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Sum of GWP 5]" caption="Sum of GWP 5" measure="1" displayFolder="" measureGroup="Range 4" count="0" hidden="1">
      <extLst>
        <ext xmlns:x15="http://schemas.microsoft.com/office/spreadsheetml/2010/11/main" uri="{B97F6D7D-B522-45F9-BDA1-12C45D357490}">
          <x15:cacheHierarchy aggregatedColumn="29"/>
        </ext>
      </extLst>
    </cacheHierarchy>
    <cacheHierarchy uniqueName="[Measures].[Sum of CI (kg Co2e/mmbtu fuel) 3]" caption="Sum of CI (kg Co2e/mmbtu fuel) 3" measure="1" displayFolder="" measureGroup="Range 4" count="0" hidden="1">
      <extLst>
        <ext xmlns:x15="http://schemas.microsoft.com/office/spreadsheetml/2010/11/main" uri="{B97F6D7D-B522-45F9-BDA1-12C45D357490}">
          <x15:cacheHierarchy aggregatedColumn="27"/>
        </ext>
      </extLst>
    </cacheHierarchy>
    <cacheHierarchy uniqueName="[Measures].[Average of CI (kg Co2e/mmbtu fuel) 2]" caption="Average of CI (kg Co2e/mmbtu fuel) 2" measure="1" displayFolder="" measureGroup="Range 4" count="0" hidden="1">
      <extLst>
        <ext xmlns:x15="http://schemas.microsoft.com/office/spreadsheetml/2010/11/main" uri="{B97F6D7D-B522-45F9-BDA1-12C45D357490}">
          <x15:cacheHierarchy aggregatedColumn="27"/>
        </ext>
      </extLst>
    </cacheHierarchy>
    <cacheHierarchy uniqueName="[Measures].[Sum of GWP]" caption="Sum of GWP" measure="1" displayFolder="" measureGroup="Range" count="0" hidden="1">
      <extLst>
        <ext xmlns:x15="http://schemas.microsoft.com/office/spreadsheetml/2010/11/main" uri="{B97F6D7D-B522-45F9-BDA1-12C45D357490}">
          <x15:cacheHierarchy aggregatedColumn="4"/>
        </ext>
      </extLst>
    </cacheHierarchy>
    <cacheHierarchy uniqueName="[Measures].[Sum of CI (g CO2e /kWh)]" caption="Sum of CI (g CO2e /kWh)" measure="1" displayFolder="" measureGroup="Range" count="0" hidden="1">
      <extLst>
        <ext xmlns:x15="http://schemas.microsoft.com/office/spreadsheetml/2010/11/main" uri="{B97F6D7D-B522-45F9-BDA1-12C45D357490}">
          <x15:cacheHierarchy aggregatedColumn="6"/>
        </ext>
      </extLst>
    </cacheHierarchy>
    <cacheHierarchy uniqueName="[Measures].[Average of CI (g CO2e /kWh)]" caption="Average of CI (g CO2e /kWh)" measure="1" displayFolder="" measureGroup="Range" count="0" oneField="1" hidden="1">
      <fieldsUsage count="1">
        <fieldUsage x="4"/>
      </fieldsUsage>
      <extLst>
        <ext xmlns:x15="http://schemas.microsoft.com/office/spreadsheetml/2010/11/main" uri="{B97F6D7D-B522-45F9-BDA1-12C45D357490}">
          <x15:cacheHierarchy aggregatedColumn="6"/>
        </ext>
      </extLst>
    </cacheHierarchy>
    <cacheHierarchy uniqueName="[Measures].[Sum of CI (kg Co2e/mmbtu fuel) 4]" caption="Sum of CI (kg Co2e/mmbtu fuel) 4" measure="1" displayFolder="" measureGroup="Range" count="0" hidden="1">
      <extLst>
        <ext xmlns:x15="http://schemas.microsoft.com/office/spreadsheetml/2010/11/main" uri="{B97F6D7D-B522-45F9-BDA1-12C45D357490}">
          <x15:cacheHierarchy aggregatedColumn="2"/>
        </ext>
      </extLst>
    </cacheHierarchy>
    <cacheHierarchy uniqueName="[Measures].[Average of CI (kg Co2e/mmbtu fuel) 3]" caption="Average of CI (kg Co2e/mmbtu fuel) 3" measure="1" displayFolder="" measureGroup="Range" count="0" hidden="1">
      <extLst>
        <ext xmlns:x15="http://schemas.microsoft.com/office/spreadsheetml/2010/11/main" uri="{B97F6D7D-B522-45F9-BDA1-12C45D357490}">
          <x15:cacheHierarchy aggregatedColumn="2"/>
        </ext>
      </extLst>
    </cacheHierarchy>
    <cacheHierarchy uniqueName="[Measures].[Sum of CI (kg CO2e/mmbtu elec) 2]" caption="Sum of CI (kg CO2e/mmbtu elec) 2" measure="1" displayFolder="" measureGroup="Range" count="0" hidden="1">
      <extLst>
        <ext xmlns:x15="http://schemas.microsoft.com/office/spreadsheetml/2010/11/main" uri="{B97F6D7D-B522-45F9-BDA1-12C45D357490}">
          <x15:cacheHierarchy aggregatedColumn="5"/>
        </ext>
      </extLst>
    </cacheHierarchy>
    <cacheHierarchy uniqueName="[Measures].[Average of CI (kg CO2e/mmbtu elec) 2]" caption="Average of CI (kg CO2e/mmbtu elec) 2" measure="1" displayFolder="" measureGroup="Range" count="0" hidden="1">
      <extLst>
        <ext xmlns:x15="http://schemas.microsoft.com/office/spreadsheetml/2010/11/main" uri="{B97F6D7D-B522-45F9-BDA1-12C45D357490}">
          <x15:cacheHierarchy aggregatedColumn="5"/>
        </ext>
      </extLst>
    </cacheHierarchy>
  </cacheHierarchies>
  <kpis count="0"/>
  <dimensions count="6">
    <dimension measure="1" name="Measures" uniqueName="[Measures]" caption="Measures"/>
    <dimension name="Range" uniqueName="[Range]" caption="Range"/>
    <dimension name="Range 1" uniqueName="[Range 1]" caption="Range 1"/>
    <dimension name="Range 2" uniqueName="[Range 2]" caption="Range 2"/>
    <dimension name="Range 3" uniqueName="[Range 3]" caption="Range 3"/>
    <dimension name="Range 4" uniqueName="[Range 4]" caption="Range 4"/>
  </dimensions>
  <measureGroups count="5">
    <measureGroup name="Range" caption="Range"/>
    <measureGroup name="Range 1" caption="Range 1"/>
    <measureGroup name="Range 2" caption="Range 2"/>
    <measureGroup name="Range 3" caption="Range 3"/>
    <measureGroup name="Range 4" caption="Range 4"/>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5644.643933449071" backgroundQuery="1" createdVersion="8" refreshedVersion="8" minRefreshableVersion="3" recordCount="0" supportSubquery="1" supportAdvancedDrill="1" xr:uid="{FB77475A-2388-4209-9534-B0CD4141A772}">
  <cacheSource type="external" connectionId="1">
    <extLst>
      <ext xmlns:x14="http://schemas.microsoft.com/office/spreadsheetml/2009/9/main" uri="{F057638F-6D5F-4e77-A914-E7F072B9BCA8}">
        <x14:sourceConnection name="ThisWorkbookDataModel"/>
      </ext>
    </extLst>
  </cacheSource>
  <cacheFields count="4">
    <cacheField name="[Range 4].[GWP].[GWP]" caption="GWP" numFmtId="0" hierarchy="29" level="1">
      <sharedItems containsSemiMixedTypes="0" containsString="0" containsNumber="1" containsInteger="1" minValue="20" maxValue="100" count="2">
        <n v="20"/>
        <n v="100"/>
      </sharedItems>
      <extLst>
        <ext xmlns:x15="http://schemas.microsoft.com/office/spreadsheetml/2010/11/main" uri="{4F2E5C28-24EA-4eb8-9CBF-B6C8F9C3D259}">
          <x15:cachedUniqueNames>
            <x15:cachedUniqueName index="0" name="[Range 4].[GWP].&amp;[20]"/>
            <x15:cachedUniqueName index="1" name="[Range 4].[GWP].&amp;[100]"/>
          </x15:cachedUniqueNames>
        </ext>
      </extLst>
    </cacheField>
    <cacheField name="[Range 4].[Fuel Type].[Fuel Type]" caption="Fuel Type" numFmtId="0" hierarchy="28" level="1">
      <sharedItems count="2">
        <s v="Crude"/>
        <s v="LNG"/>
      </sharedItems>
    </cacheField>
    <cacheField name="[Range 4].[Supply Chain Point].[Supply Chain Point]" caption="Supply Chain Point" numFmtId="0" hierarchy="26" level="1">
      <sharedItems count="11">
        <s v="Fuel - Combustion"/>
        <s v="Gasified  NG T&amp;D to Power Plant"/>
        <s v="Liquefaction"/>
        <s v="LNG Regasification"/>
        <s v="LNG Storage"/>
        <s v="LNG T&amp;D"/>
        <s v="Refinery - Residual Oil"/>
        <s v="Transport - Crude"/>
        <s v="Upstream - Crude Production"/>
        <s v="Upstream+ Midstream - NG Production"/>
        <s v="TOTAL" u="1"/>
      </sharedItems>
    </cacheField>
    <cacheField name="[Measures].[Average of CI (kg Co2e/mmbtu fuel) 2]" caption="Average of CI (kg Co2e/mmbtu fuel) 2" numFmtId="0" hierarchy="51" level="32767"/>
  </cacheFields>
  <cacheHierarchies count="59">
    <cacheHierarchy uniqueName="[Range].[Sources]" caption="Sources" attribute="1" defaultMemberUniqueName="[Range].[Sources].[All]" allUniqueName="[Range].[Sources].[All]" dimensionUniqueName="[Range]" displayFolder="" count="0" memberValueDatatype="130" unbalanced="0"/>
    <cacheHierarchy uniqueName="[Range].[Supply Chain Point]" caption="Supply Chain Point" attribute="1" defaultMemberUniqueName="[Range].[Supply Chain Point].[All]" allUniqueName="[Range].[Supply Chain Point].[All]" dimensionUniqueName="[Range]" displayFolder="" count="0" memberValueDatatype="130" unbalanced="0"/>
    <cacheHierarchy uniqueName="[Range].[CI (kg Co2e/mmbtu fuel)]" caption="CI (kg Co2e/mmbtu fuel)" attribute="1" defaultMemberUniqueName="[Range].[CI (kg Co2e/mmbtu fuel)].[All]" allUniqueName="[Range].[CI (kg Co2e/mmbtu fuel)].[All]" dimensionUniqueName="[Range]" displayFolder="" count="0" memberValueDatatype="5" unbalanced="0"/>
    <cacheHierarchy uniqueName="[Range].[Fuel Type]" caption="Fuel Type" attribute="1" defaultMemberUniqueName="[Range].[Fuel Type].[All]" allUniqueName="[Range].[Fuel Type].[All]" dimensionUniqueName="[Range]" displayFolder="" count="0" memberValueDatatype="130" unbalanced="0"/>
    <cacheHierarchy uniqueName="[Range].[GWP]" caption="GWP" attribute="1" defaultMemberUniqueName="[Range].[GWP].[All]" allUniqueName="[Range].[GWP].[All]" dimensionUniqueName="[Range]" displayFolder="" count="0" memberValueDatatype="20" unbalanced="0"/>
    <cacheHierarchy uniqueName="[Range].[CI (kg CO2e/mmbtu elec)]" caption="CI (kg CO2e/mmbtu elec)" attribute="1" defaultMemberUniqueName="[Range].[CI (kg CO2e/mmbtu elec)].[All]" allUniqueName="[Range].[CI (kg CO2e/mmbtu elec)].[All]" dimensionUniqueName="[Range]" displayFolder="" count="0" memberValueDatatype="5" unbalanced="0"/>
    <cacheHierarchy uniqueName="[Range].[CI (g CO2e /kWh)]" caption="CI (g CO2e /kWh)" attribute="1" defaultMemberUniqueName="[Range].[CI (g CO2e /kWh)].[All]" allUniqueName="[Range].[CI (g CO2e /kWh)].[All]" dimensionUniqueName="[Range]" displayFolder="" count="0" memberValueDatatype="5" unbalanced="0"/>
    <cacheHierarchy uniqueName="[Range 1].[Sources]" caption="Sources" attribute="1" defaultMemberUniqueName="[Range 1].[Sources].[All]" allUniqueName="[Range 1].[Sources].[All]" dimensionUniqueName="[Range 1]" displayFolder="" count="0" memberValueDatatype="130" unbalanced="0"/>
    <cacheHierarchy uniqueName="[Range 1].[Unit]" caption="Unit" attribute="1" defaultMemberUniqueName="[Range 1].[Unit].[All]" allUniqueName="[Range 1].[Unit].[All]" dimensionUniqueName="[Range 1]" displayFolder="" count="0" memberValueDatatype="130" unbalanced="0"/>
    <cacheHierarchy uniqueName="[Range 1].[Supply Chain Point]" caption="Supply Chain Point" attribute="1" defaultMemberUniqueName="[Range 1].[Supply Chain Point].[All]" allUniqueName="[Range 1].[Supply Chain Point].[All]" dimensionUniqueName="[Range 1]" displayFolder="" count="0" memberValueDatatype="130" unbalanced="0"/>
    <cacheHierarchy uniqueName="[Range 1].[CI]" caption="CI" attribute="1" defaultMemberUniqueName="[Range 1].[CI].[All]" allUniqueName="[Range 1].[CI].[All]" dimensionUniqueName="[Range 1]" displayFolder="" count="0" memberValueDatatype="5" unbalanced="0"/>
    <cacheHierarchy uniqueName="[Range 1].[Fuel Type]" caption="Fuel Type" attribute="1" defaultMemberUniqueName="[Range 1].[Fuel Type].[All]" allUniqueName="[Range 1].[Fuel Type].[All]" dimensionUniqueName="[Range 1]" displayFolder="" count="0" memberValueDatatype="130" unbalanced="0"/>
    <cacheHierarchy uniqueName="[Range 1].[GWP]" caption="GWP" attribute="1" defaultMemberUniqueName="[Range 1].[GWP].[All]" allUniqueName="[Range 1].[GWP].[All]" dimensionUniqueName="[Range 1]" displayFolder="" count="0" memberValueDatatype="20" unbalanced="0"/>
    <cacheHierarchy uniqueName="[Range 2].[Sources]" caption="Sources" attribute="1" defaultMemberUniqueName="[Range 2].[Sources].[All]" allUniqueName="[Range 2].[Sources].[All]" dimensionUniqueName="[Range 2]" displayFolder="" count="0" memberValueDatatype="130" unbalanced="0"/>
    <cacheHierarchy uniqueName="[Range 2].[Supply Chain Point]" caption="Supply Chain Point" attribute="1" defaultMemberUniqueName="[Range 2].[Supply Chain Point].[All]" allUniqueName="[Range 2].[Supply Chain Point].[All]" dimensionUniqueName="[Range 2]" displayFolder="" count="0" memberValueDatatype="130" unbalanced="0"/>
    <cacheHierarchy uniqueName="[Range 2].[CI (kg Co2e/mmbtu fuel)]" caption="CI (kg Co2e/mmbtu fuel)" attribute="1" defaultMemberUniqueName="[Range 2].[CI (kg Co2e/mmbtu fuel)].[All]" allUniqueName="[Range 2].[CI (kg Co2e/mmbtu fuel)].[All]" dimensionUniqueName="[Range 2]" displayFolder="" count="0" memberValueDatatype="5" unbalanced="0"/>
    <cacheHierarchy uniqueName="[Range 2].[Fuel Type]" caption="Fuel Type" attribute="1" defaultMemberUniqueName="[Range 2].[Fuel Type].[All]" allUniqueName="[Range 2].[Fuel Type].[All]" dimensionUniqueName="[Range 2]" displayFolder="" count="0" memberValueDatatype="130" unbalanced="0"/>
    <cacheHierarchy uniqueName="[Range 2].[GWP]" caption="GWP" attribute="1" defaultMemberUniqueName="[Range 2].[GWP].[All]" allUniqueName="[Range 2].[GWP].[All]" dimensionUniqueName="[Range 2]" displayFolder="" count="0" memberValueDatatype="20" unbalanced="0"/>
    <cacheHierarchy uniqueName="[Range 2].[CI (kg CO2e/mmbtu elec)*]" caption="CI (kg CO2e/mmbtu elec)*" attribute="1" defaultMemberUniqueName="[Range 2].[CI (kg CO2e/mmbtu elec)*].[All]" allUniqueName="[Range 2].[CI (kg CO2e/mmbtu elec)*].[All]" dimensionUniqueName="[Range 2]" displayFolder="" count="0" memberValueDatatype="5" unbalanced="0"/>
    <cacheHierarchy uniqueName="[Range 3].[Sources]" caption="Sources" attribute="1" defaultMemberUniqueName="[Range 3].[Sources].[All]" allUniqueName="[Range 3].[Sources].[All]" dimensionUniqueName="[Range 3]" displayFolder="" count="0" memberValueDatatype="130" unbalanced="0"/>
    <cacheHierarchy uniqueName="[Range 3].[Supply Chain Point]" caption="Supply Chain Point" attribute="1" defaultMemberUniqueName="[Range 3].[Supply Chain Point].[All]" allUniqueName="[Range 3].[Supply Chain Point].[All]" dimensionUniqueName="[Range 3]" displayFolder="" count="0" memberValueDatatype="130" unbalanced="0"/>
    <cacheHierarchy uniqueName="[Range 3].[CI (kg Co2e/mmbtu fuel)]" caption="CI (kg Co2e/mmbtu fuel)" attribute="1" defaultMemberUniqueName="[Range 3].[CI (kg Co2e/mmbtu fuel)].[All]" allUniqueName="[Range 3].[CI (kg Co2e/mmbtu fuel)].[All]" dimensionUniqueName="[Range 3]" displayFolder="" count="0" memberValueDatatype="5" unbalanced="0"/>
    <cacheHierarchy uniqueName="[Range 3].[Fuel Type]" caption="Fuel Type" attribute="1" defaultMemberUniqueName="[Range 3].[Fuel Type].[All]" allUniqueName="[Range 3].[Fuel Type].[All]" dimensionUniqueName="[Range 3]" displayFolder="" count="0" memberValueDatatype="130" unbalanced="0"/>
    <cacheHierarchy uniqueName="[Range 3].[GWP]" caption="GWP" attribute="1" defaultMemberUniqueName="[Range 3].[GWP].[All]" allUniqueName="[Range 3].[GWP].[All]" dimensionUniqueName="[Range 3]" displayFolder="" count="0" memberValueDatatype="20" unbalanced="0"/>
    <cacheHierarchy uniqueName="[Range 3].[CI (kg CO2e/mmbtu elec)]" caption="CI (kg CO2e/mmbtu elec)" attribute="1" defaultMemberUniqueName="[Range 3].[CI (kg CO2e/mmbtu elec)].[All]" allUniqueName="[Range 3].[CI (kg CO2e/mmbtu elec)].[All]" dimensionUniqueName="[Range 3]" displayFolder="" count="0" memberValueDatatype="5" unbalanced="0"/>
    <cacheHierarchy uniqueName="[Range 4].[Sources]" caption="Sources" attribute="1" defaultMemberUniqueName="[Range 4].[Sources].[All]" allUniqueName="[Range 4].[Sources].[All]" dimensionUniqueName="[Range 4]" displayFolder="" count="0" memberValueDatatype="130" unbalanced="0"/>
    <cacheHierarchy uniqueName="[Range 4].[Supply Chain Point]" caption="Supply Chain Point" attribute="1" defaultMemberUniqueName="[Range 4].[Supply Chain Point].[All]" allUniqueName="[Range 4].[Supply Chain Point].[All]" dimensionUniqueName="[Range 4]" displayFolder="" count="2" memberValueDatatype="130" unbalanced="0">
      <fieldsUsage count="2">
        <fieldUsage x="-1"/>
        <fieldUsage x="2"/>
      </fieldsUsage>
    </cacheHierarchy>
    <cacheHierarchy uniqueName="[Range 4].[CI (kg Co2e/mmbtu fuel)]" caption="CI (kg Co2e/mmbtu fuel)" attribute="1" defaultMemberUniqueName="[Range 4].[CI (kg Co2e/mmbtu fuel)].[All]" allUniqueName="[Range 4].[CI (kg Co2e/mmbtu fuel)].[All]" dimensionUniqueName="[Range 4]" displayFolder="" count="0" memberValueDatatype="5" unbalanced="0"/>
    <cacheHierarchy uniqueName="[Range 4].[Fuel Type]" caption="Fuel Type" attribute="1" defaultMemberUniqueName="[Range 4].[Fuel Type].[All]" allUniqueName="[Range 4].[Fuel Type].[All]" dimensionUniqueName="[Range 4]" displayFolder="" count="2" memberValueDatatype="130" unbalanced="0">
      <fieldsUsage count="2">
        <fieldUsage x="-1"/>
        <fieldUsage x="1"/>
      </fieldsUsage>
    </cacheHierarchy>
    <cacheHierarchy uniqueName="[Range 4].[GWP]" caption="GWP" attribute="1" defaultMemberUniqueName="[Range 4].[GWP].[All]" allUniqueName="[Range 4].[GWP].[All]" dimensionUniqueName="[Range 4]" displayFolder="" count="2" memberValueDatatype="20" unbalanced="0">
      <fieldsUsage count="2">
        <fieldUsage x="-1"/>
        <fieldUsage x="0"/>
      </fieldsUsage>
    </cacheHierarchy>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2]" caption="__XL_Count Range 2" measure="1" displayFolder="" measureGroup="Range 2" count="0" hidden="1"/>
    <cacheHierarchy uniqueName="[Measures].[__XL_Count Range 4]" caption="__XL_Count Range 4" measure="1" displayFolder="" measureGroup="Range 4" count="0" hidden="1"/>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GWP 2]" caption="Sum of GWP 2" measure="1" displayFolder="" measureGroup="Range 1" count="0" hidden="1">
      <extLst>
        <ext xmlns:x15="http://schemas.microsoft.com/office/spreadsheetml/2010/11/main" uri="{B97F6D7D-B522-45F9-BDA1-12C45D357490}">
          <x15:cacheHierarchy aggregatedColumn="12"/>
        </ext>
      </extLst>
    </cacheHierarchy>
    <cacheHierarchy uniqueName="[Measures].[Sum of CI]" caption="Sum of CI" measure="1" displayFolder="" measureGroup="Range 1" count="0" hidden="1">
      <extLst>
        <ext xmlns:x15="http://schemas.microsoft.com/office/spreadsheetml/2010/11/main" uri="{B97F6D7D-B522-45F9-BDA1-12C45D357490}">
          <x15:cacheHierarchy aggregatedColumn="10"/>
        </ext>
      </extLst>
    </cacheHierarchy>
    <cacheHierarchy uniqueName="[Measures].[Average of CI]" caption="Average of CI" measure="1" displayFolder="" measureGroup="Range 1" count="0" hidden="1">
      <extLst>
        <ext xmlns:x15="http://schemas.microsoft.com/office/spreadsheetml/2010/11/main" uri="{B97F6D7D-B522-45F9-BDA1-12C45D357490}">
          <x15:cacheHierarchy aggregatedColumn="10"/>
        </ext>
      </extLst>
    </cacheHierarchy>
    <cacheHierarchy uniqueName="[Measures].[Max of CI]" caption="Max of CI" measure="1" displayFolder="" measureGroup="Range 1" count="0" hidden="1">
      <extLst>
        <ext xmlns:x15="http://schemas.microsoft.com/office/spreadsheetml/2010/11/main" uri="{B97F6D7D-B522-45F9-BDA1-12C45D357490}">
          <x15:cacheHierarchy aggregatedColumn="10"/>
        </ext>
      </extLst>
    </cacheHierarchy>
    <cacheHierarchy uniqueName="[Measures].[Sum of GWP 3]" caption="Sum of GWP 3" measure="1" displayFolder="" measureGroup="Range 3" count="0" hidden="1">
      <extLst>
        <ext xmlns:x15="http://schemas.microsoft.com/office/spreadsheetml/2010/11/main" uri="{B97F6D7D-B522-45F9-BDA1-12C45D357490}">
          <x15:cacheHierarchy aggregatedColumn="23"/>
        </ext>
      </extLst>
    </cacheHierarchy>
    <cacheHierarchy uniqueName="[Measures].[Sum of CI (kg Co2e/mmbtu fuel)]" caption="Sum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Sum of CI (kg CO2e/mmbtu elec)]" caption="Sum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Average of CI (kg Co2e/mmbtu fuel)]" caption="Average of CI (kg Co2e/mmbtu fuel)" measure="1" displayFolder="" measureGroup="Range 3" count="0" hidden="1">
      <extLst>
        <ext xmlns:x15="http://schemas.microsoft.com/office/spreadsheetml/2010/11/main" uri="{B97F6D7D-B522-45F9-BDA1-12C45D357490}">
          <x15:cacheHierarchy aggregatedColumn="21"/>
        </ext>
      </extLst>
    </cacheHierarchy>
    <cacheHierarchy uniqueName="[Measures].[Average of CI (kg CO2e/mmbtu elec)]" caption="Average of CI (kg CO2e/mmbtu elec)" measure="1" displayFolder="" measureGroup="Range 3" count="0" hidden="1">
      <extLst>
        <ext xmlns:x15="http://schemas.microsoft.com/office/spreadsheetml/2010/11/main" uri="{B97F6D7D-B522-45F9-BDA1-12C45D357490}">
          <x15:cacheHierarchy aggregatedColumn="24"/>
        </ext>
      </extLst>
    </cacheHierarchy>
    <cacheHierarchy uniqueName="[Measures].[Sum of GWP 4]" caption="Sum of GWP 4" measure="1" displayFolder="" measureGroup="Range 2" count="0" hidden="1">
      <extLst>
        <ext xmlns:x15="http://schemas.microsoft.com/office/spreadsheetml/2010/11/main" uri="{B97F6D7D-B522-45F9-BDA1-12C45D357490}">
          <x15:cacheHierarchy aggregatedColumn="17"/>
        </ext>
      </extLst>
    </cacheHierarchy>
    <cacheHierarchy uniqueName="[Measures].[Sum of CI (kg Co2e/mmbtu fuel) 2]" caption="Sum of CI (kg Co2e/mmbtu fuel) 2" measure="1" displayFolder="" measureGroup="Range 2" count="0" hidden="1">
      <extLst>
        <ext xmlns:x15="http://schemas.microsoft.com/office/spreadsheetml/2010/11/main" uri="{B97F6D7D-B522-45F9-BDA1-12C45D357490}">
          <x15:cacheHierarchy aggregatedColumn="15"/>
        </ext>
      </extLst>
    </cacheHierarchy>
    <cacheHierarchy uniqueName="[Measures].[Sum of CI (kg CO2e/mmbtu elec)*]" caption="Sum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Average of CI (kg CO2e/mmbtu elec)*]" caption="Average of CI (kg CO2e/mmbtu elec)*" measure="1" displayFolder="" measureGroup="Range 2" count="0" hidden="1">
      <extLst>
        <ext xmlns:x15="http://schemas.microsoft.com/office/spreadsheetml/2010/11/main" uri="{B97F6D7D-B522-45F9-BDA1-12C45D357490}">
          <x15:cacheHierarchy aggregatedColumn="18"/>
        </ext>
      </extLst>
    </cacheHierarchy>
    <cacheHierarchy uniqueName="[Measures].[Sum of GWP 5]" caption="Sum of GWP 5" measure="1" displayFolder="" measureGroup="Range 4" count="0" hidden="1">
      <extLst>
        <ext xmlns:x15="http://schemas.microsoft.com/office/spreadsheetml/2010/11/main" uri="{B97F6D7D-B522-45F9-BDA1-12C45D357490}">
          <x15:cacheHierarchy aggregatedColumn="29"/>
        </ext>
      </extLst>
    </cacheHierarchy>
    <cacheHierarchy uniqueName="[Measures].[Sum of CI (kg Co2e/mmbtu fuel) 3]" caption="Sum of CI (kg Co2e/mmbtu fuel) 3" measure="1" displayFolder="" measureGroup="Range 4" count="0" hidden="1">
      <extLst>
        <ext xmlns:x15="http://schemas.microsoft.com/office/spreadsheetml/2010/11/main" uri="{B97F6D7D-B522-45F9-BDA1-12C45D357490}">
          <x15:cacheHierarchy aggregatedColumn="27"/>
        </ext>
      </extLst>
    </cacheHierarchy>
    <cacheHierarchy uniqueName="[Measures].[Average of CI (kg Co2e/mmbtu fuel) 2]" caption="Average of CI (kg Co2e/mmbtu fuel) 2" measure="1" displayFolder="" measureGroup="Range 4"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GWP]" caption="Sum of GWP" measure="1" displayFolder="" measureGroup="Range" count="0" hidden="1">
      <extLst>
        <ext xmlns:x15="http://schemas.microsoft.com/office/spreadsheetml/2010/11/main" uri="{B97F6D7D-B522-45F9-BDA1-12C45D357490}">
          <x15:cacheHierarchy aggregatedColumn="4"/>
        </ext>
      </extLst>
    </cacheHierarchy>
    <cacheHierarchy uniqueName="[Measures].[Sum of CI (g CO2e /kWh)]" caption="Sum of CI (g CO2e /kWh)" measure="1" displayFolder="" measureGroup="Range" count="0" hidden="1">
      <extLst>
        <ext xmlns:x15="http://schemas.microsoft.com/office/spreadsheetml/2010/11/main" uri="{B97F6D7D-B522-45F9-BDA1-12C45D357490}">
          <x15:cacheHierarchy aggregatedColumn="6"/>
        </ext>
      </extLst>
    </cacheHierarchy>
    <cacheHierarchy uniqueName="[Measures].[Average of CI (g CO2e /kWh)]" caption="Average of CI (g CO2e /kWh)" measure="1" displayFolder="" measureGroup="Range" count="0" hidden="1">
      <extLst>
        <ext xmlns:x15="http://schemas.microsoft.com/office/spreadsheetml/2010/11/main" uri="{B97F6D7D-B522-45F9-BDA1-12C45D357490}">
          <x15:cacheHierarchy aggregatedColumn="6"/>
        </ext>
      </extLst>
    </cacheHierarchy>
    <cacheHierarchy uniqueName="[Measures].[Sum of CI (kg Co2e/mmbtu fuel) 4]" caption="Sum of CI (kg Co2e/mmbtu fuel) 4" measure="1" displayFolder="" measureGroup="Range" count="0" hidden="1">
      <extLst>
        <ext xmlns:x15="http://schemas.microsoft.com/office/spreadsheetml/2010/11/main" uri="{B97F6D7D-B522-45F9-BDA1-12C45D357490}">
          <x15:cacheHierarchy aggregatedColumn="2"/>
        </ext>
      </extLst>
    </cacheHierarchy>
    <cacheHierarchy uniqueName="[Measures].[Average of CI (kg Co2e/mmbtu fuel) 3]" caption="Average of CI (kg Co2e/mmbtu fuel) 3" measure="1" displayFolder="" measureGroup="Range" count="0" hidden="1">
      <extLst>
        <ext xmlns:x15="http://schemas.microsoft.com/office/spreadsheetml/2010/11/main" uri="{B97F6D7D-B522-45F9-BDA1-12C45D357490}">
          <x15:cacheHierarchy aggregatedColumn="2"/>
        </ext>
      </extLst>
    </cacheHierarchy>
    <cacheHierarchy uniqueName="[Measures].[Sum of CI (kg CO2e/mmbtu elec) 2]" caption="Sum of CI (kg CO2e/mmbtu elec) 2" measure="1" displayFolder="" measureGroup="Range" count="0" hidden="1">
      <extLst>
        <ext xmlns:x15="http://schemas.microsoft.com/office/spreadsheetml/2010/11/main" uri="{B97F6D7D-B522-45F9-BDA1-12C45D357490}">
          <x15:cacheHierarchy aggregatedColumn="5"/>
        </ext>
      </extLst>
    </cacheHierarchy>
    <cacheHierarchy uniqueName="[Measures].[Average of CI (kg CO2e/mmbtu elec) 2]" caption="Average of CI (kg CO2e/mmbtu elec) 2" measure="1" displayFolder="" measureGroup="Range" count="0" hidden="1">
      <extLst>
        <ext xmlns:x15="http://schemas.microsoft.com/office/spreadsheetml/2010/11/main" uri="{B97F6D7D-B522-45F9-BDA1-12C45D357490}">
          <x15:cacheHierarchy aggregatedColumn="5"/>
        </ext>
      </extLst>
    </cacheHierarchy>
  </cacheHierarchies>
  <kpis count="0"/>
  <dimensions count="6">
    <dimension measure="1" name="Measures" uniqueName="[Measures]" caption="Measures"/>
    <dimension name="Range" uniqueName="[Range]" caption="Range"/>
    <dimension name="Range 1" uniqueName="[Range 1]" caption="Range 1"/>
    <dimension name="Range 2" uniqueName="[Range 2]" caption="Range 2"/>
    <dimension name="Range 3" uniqueName="[Range 3]" caption="Range 3"/>
    <dimension name="Range 4" uniqueName="[Range 4]" caption="Range 4"/>
  </dimensions>
  <measureGroups count="5">
    <measureGroup name="Range" caption="Range"/>
    <measureGroup name="Range 1" caption="Range 1"/>
    <measureGroup name="Range 2" caption="Range 2"/>
    <measureGroup name="Range 3" caption="Range 3"/>
    <measureGroup name="Range 4" caption="Range 4"/>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pivotCacheId="58879762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
  <r>
    <x v="0"/>
    <x v="0"/>
    <n v="16.705982568936786"/>
    <x v="0"/>
    <x v="0"/>
    <n v="38.390437009230602"/>
  </r>
  <r>
    <x v="1"/>
    <x v="0"/>
    <n v="15.170772091241597"/>
    <x v="0"/>
    <x v="0"/>
    <n v="34.862515146708333"/>
  </r>
  <r>
    <x v="2"/>
    <x v="0"/>
    <n v="12.225708240854447"/>
    <x v="0"/>
    <x v="0"/>
    <n v="28.094742717286625"/>
  </r>
  <r>
    <x v="3"/>
    <x v="0"/>
    <n v="26.117492105251266"/>
    <x v="0"/>
    <x v="0"/>
    <n v="60.018136099943163"/>
  </r>
  <r>
    <x v="0"/>
    <x v="0"/>
    <n v="9.5439452881464373"/>
    <x v="0"/>
    <x v="1"/>
    <n v="21.932037154486714"/>
  </r>
  <r>
    <x v="1"/>
    <x v="0"/>
    <n v="8.6126831432389643"/>
    <x v="0"/>
    <x v="1"/>
    <n v="19.791991780584073"/>
  </r>
  <r>
    <x v="2"/>
    <x v="0"/>
    <n v="6.2335200959984967"/>
    <x v="0"/>
    <x v="1"/>
    <n v="14.324662413821347"/>
  </r>
  <r>
    <x v="3"/>
    <x v="0"/>
    <n v="12.943188085779772"/>
    <x v="0"/>
    <x v="1"/>
    <n v="29.743515226077243"/>
  </r>
  <r>
    <x v="0"/>
    <x v="1"/>
    <n v="9.375256687212163"/>
    <x v="0"/>
    <x v="0"/>
    <n v="21.544389850198005"/>
  </r>
  <r>
    <x v="1"/>
    <x v="1"/>
    <n v="9.375256687212163"/>
    <x v="0"/>
    <x v="0"/>
    <n v="21.544389850198005"/>
  </r>
  <r>
    <x v="2"/>
    <x v="1"/>
    <n v="9.375256687212163"/>
    <x v="0"/>
    <x v="0"/>
    <n v="21.544389850198005"/>
  </r>
  <r>
    <x v="3"/>
    <x v="1"/>
    <n v="10.232548220469367"/>
    <x v="0"/>
    <x v="0"/>
    <n v="23.514450364163451"/>
  </r>
  <r>
    <x v="0"/>
    <x v="1"/>
    <n v="7.5212039469757084"/>
    <x v="0"/>
    <x v="1"/>
    <n v="17.28376676848908"/>
  </r>
  <r>
    <x v="1"/>
    <x v="1"/>
    <n v="7.5212039469757084"/>
    <x v="0"/>
    <x v="1"/>
    <n v="17.28376676848908"/>
  </r>
  <r>
    <x v="2"/>
    <x v="1"/>
    <n v="7.5212039469757084"/>
    <x v="0"/>
    <x v="1"/>
    <n v="17.28376676848908"/>
  </r>
  <r>
    <x v="3"/>
    <x v="1"/>
    <n v="7.8306703816707826"/>
    <x v="0"/>
    <x v="1"/>
    <n v="17.994922285299161"/>
  </r>
  <r>
    <x v="0"/>
    <x v="2"/>
    <n v="5.0295750403146258"/>
    <x v="0"/>
    <x v="0"/>
    <n v="11.557990257180407"/>
  </r>
  <r>
    <x v="1"/>
    <x v="2"/>
    <n v="5.0295750403146258"/>
    <x v="0"/>
    <x v="0"/>
    <n v="11.557990257180407"/>
  </r>
  <r>
    <x v="2"/>
    <x v="2"/>
    <n v="2.841875773162593"/>
    <x v="0"/>
    <x v="0"/>
    <n v="6.5306456778256115"/>
  </r>
  <r>
    <x v="3"/>
    <x v="2"/>
    <n v="5.0990623029371562"/>
    <x v="0"/>
    <x v="0"/>
    <n v="11.717672357149455"/>
  </r>
  <r>
    <x v="0"/>
    <x v="2"/>
    <n v="2.4616343539934133"/>
    <x v="0"/>
    <x v="1"/>
    <n v="5.6568488693662413"/>
  </r>
  <r>
    <x v="1"/>
    <x v="2"/>
    <n v="2.4616343539934133"/>
    <x v="0"/>
    <x v="1"/>
    <n v="5.6568488693662413"/>
  </r>
  <r>
    <x v="2"/>
    <x v="2"/>
    <n v="1.3909045947072729"/>
    <x v="0"/>
    <x v="1"/>
    <n v="3.1963061740676371"/>
  </r>
  <r>
    <x v="3"/>
    <x v="2"/>
    <n v="2.4867040520706301"/>
    <x v="0"/>
    <x v="1"/>
    <n v="5.7144591692035807"/>
  </r>
  <r>
    <x v="0"/>
    <x v="3"/>
    <n v="1.8009949642669243"/>
    <x v="0"/>
    <x v="0"/>
    <n v="4.1386960296601814"/>
  </r>
  <r>
    <x v="1"/>
    <x v="3"/>
    <n v="1.8009949642669243"/>
    <x v="0"/>
    <x v="0"/>
    <n v="4.1386960296601814"/>
  </r>
  <r>
    <x v="2"/>
    <x v="3"/>
    <n v="1.8009949642669243"/>
    <x v="0"/>
    <x v="0"/>
    <n v="4.1386960296601814"/>
  </r>
  <r>
    <x v="3"/>
    <x v="3"/>
    <n v="1.8009149858935565"/>
    <x v="0"/>
    <x v="0"/>
    <n v="4.1385122389317877"/>
  </r>
  <r>
    <x v="0"/>
    <x v="3"/>
    <n v="0.65054121133520426"/>
    <x v="0"/>
    <x v="1"/>
    <n v="1.4949471719257383"/>
  </r>
  <r>
    <x v="1"/>
    <x v="3"/>
    <n v="0.65054121133520426"/>
    <x v="0"/>
    <x v="1"/>
    <n v="1.4949471719257383"/>
  </r>
  <r>
    <x v="2"/>
    <x v="3"/>
    <n v="0.65054121133520426"/>
    <x v="0"/>
    <x v="1"/>
    <n v="1.4949471719257383"/>
  </r>
  <r>
    <x v="3"/>
    <x v="3"/>
    <n v="0.65051232217730892"/>
    <x v="0"/>
    <x v="1"/>
    <n v="1.4948807844868761"/>
  </r>
  <r>
    <x v="0"/>
    <x v="4"/>
    <n v="2.4094314112167869"/>
    <x v="0"/>
    <x v="0"/>
    <n v="5.5368862285522269"/>
  </r>
  <r>
    <x v="1"/>
    <x v="4"/>
    <n v="2.4094314112167869"/>
    <x v="0"/>
    <x v="0"/>
    <n v="5.5368862285522269"/>
  </r>
  <r>
    <x v="2"/>
    <x v="4"/>
    <n v="2.4094314112167869"/>
    <x v="0"/>
    <x v="0"/>
    <n v="5.5368862285522269"/>
  </r>
  <r>
    <x v="3"/>
    <x v="4"/>
    <n v="2.4145264437882608"/>
    <x v="0"/>
    <x v="0"/>
    <n v="5.54859464056499"/>
  </r>
  <r>
    <x v="0"/>
    <x v="4"/>
    <n v="1.2316718887209317"/>
    <x v="0"/>
    <x v="1"/>
    <n v="2.830388566782176"/>
  </r>
  <r>
    <x v="1"/>
    <x v="4"/>
    <n v="1.2316718887209317"/>
    <x v="0"/>
    <x v="1"/>
    <n v="2.830388566782176"/>
  </r>
  <r>
    <x v="2"/>
    <x v="4"/>
    <n v="1.2316718887209317"/>
    <x v="0"/>
    <x v="1"/>
    <n v="2.830388566782176"/>
  </r>
  <r>
    <x v="3"/>
    <x v="4"/>
    <n v="1.2334956860408701"/>
    <x v="0"/>
    <x v="1"/>
    <n v="2.8345796627467372"/>
  </r>
  <r>
    <x v="0"/>
    <x v="5"/>
    <n v="0.69672944801525905"/>
    <x v="0"/>
    <x v="0"/>
    <n v="1.601087986063193"/>
  </r>
  <r>
    <x v="1"/>
    <x v="5"/>
    <n v="0.69672944801525905"/>
    <x v="0"/>
    <x v="0"/>
    <n v="1.601087986063193"/>
  </r>
  <r>
    <x v="2"/>
    <x v="5"/>
    <n v="0.69672944801525905"/>
    <x v="0"/>
    <x v="0"/>
    <n v="1.601087986063193"/>
  </r>
  <r>
    <x v="3"/>
    <x v="5"/>
    <n v="0.64147839936206574"/>
    <x v="0"/>
    <x v="0"/>
    <n v="1.4741207816942408"/>
  </r>
  <r>
    <x v="0"/>
    <x v="5"/>
    <n v="0.36655886184282716"/>
    <x v="0"/>
    <x v="1"/>
    <n v="0.84235421877660444"/>
  </r>
  <r>
    <x v="1"/>
    <x v="5"/>
    <n v="0.36655886184282716"/>
    <x v="0"/>
    <x v="1"/>
    <n v="0.84235421877660444"/>
  </r>
  <r>
    <x v="2"/>
    <x v="5"/>
    <n v="0.36655886184282716"/>
    <x v="0"/>
    <x v="1"/>
    <n v="0.84235421877660444"/>
  </r>
  <r>
    <x v="3"/>
    <x v="5"/>
    <n v="0.3465996442385077"/>
    <x v="0"/>
    <x v="1"/>
    <n v="0.7964878303118571"/>
  </r>
  <r>
    <x v="0"/>
    <x v="6"/>
    <n v="59.555374269223613"/>
    <x v="0"/>
    <x v="0"/>
    <n v="136.85856758255267"/>
  </r>
  <r>
    <x v="1"/>
    <x v="6"/>
    <n v="59.555374269223613"/>
    <x v="0"/>
    <x v="0"/>
    <n v="136.85856758255267"/>
  </r>
  <r>
    <x v="2"/>
    <x v="6"/>
    <n v="59.555374269223613"/>
    <x v="0"/>
    <x v="0"/>
    <n v="136.85856758255267"/>
  </r>
  <r>
    <x v="3"/>
    <x v="6"/>
    <n v="59.555374269223613"/>
    <x v="0"/>
    <x v="0"/>
    <n v="136.85856758255267"/>
  </r>
  <r>
    <x v="0"/>
    <x v="6"/>
    <n v="59.483286073921214"/>
    <x v="0"/>
    <x v="1"/>
    <n v="136.69290852541874"/>
  </r>
  <r>
    <x v="1"/>
    <x v="6"/>
    <n v="59.483286073921214"/>
    <x v="0"/>
    <x v="1"/>
    <n v="136.69290852541874"/>
  </r>
  <r>
    <x v="2"/>
    <x v="6"/>
    <n v="59.483286073921214"/>
    <x v="0"/>
    <x v="1"/>
    <n v="136.69290852541874"/>
  </r>
  <r>
    <x v="3"/>
    <x v="6"/>
    <n v="59.483286073921214"/>
    <x v="0"/>
    <x v="1"/>
    <n v="136.69290852541874"/>
  </r>
  <r>
    <x v="0"/>
    <x v="7"/>
    <n v="95.573344389186147"/>
    <x v="0"/>
    <x v="0"/>
    <n v="219.62805494343726"/>
  </r>
  <r>
    <x v="1"/>
    <x v="7"/>
    <n v="94.038133911490959"/>
    <x v="0"/>
    <x v="0"/>
    <n v="216.10013308091499"/>
  </r>
  <r>
    <x v="2"/>
    <x v="7"/>
    <n v="88.905370793951775"/>
    <x v="0"/>
    <x v="0"/>
    <n v="204.30501607213847"/>
  </r>
  <r>
    <x v="3"/>
    <x v="7"/>
    <n v="105.86139672692528"/>
    <x v="0"/>
    <x v="0"/>
    <n v="243.27005406499973"/>
  </r>
  <r>
    <x v="0"/>
    <x v="7"/>
    <n v="81.258841624935741"/>
    <x v="0"/>
    <x v="1"/>
    <n v="186.73325127524529"/>
  </r>
  <r>
    <x v="1"/>
    <x v="7"/>
    <n v="80.327579480028263"/>
    <x v="0"/>
    <x v="1"/>
    <n v="184.59320590134266"/>
  </r>
  <r>
    <x v="2"/>
    <x v="7"/>
    <n v="76.877686673501657"/>
    <x v="0"/>
    <x v="1"/>
    <n v="176.66533383928132"/>
  </r>
  <r>
    <x v="3"/>
    <x v="7"/>
    <n v="84.974456245899077"/>
    <x v="0"/>
    <x v="1"/>
    <n v="195.27175348354419"/>
  </r>
  <r>
    <x v="0"/>
    <x v="8"/>
    <n v="11.873355275718035"/>
    <x v="1"/>
    <x v="0"/>
    <n v="38.857942766080534"/>
  </r>
  <r>
    <x v="4"/>
    <x v="8"/>
    <n v="26.758230292300969"/>
    <x v="1"/>
    <x v="0"/>
    <n v="87.571689474014647"/>
  </r>
  <r>
    <x v="5"/>
    <x v="8"/>
    <n v="30.799439103412986"/>
    <x v="1"/>
    <x v="0"/>
    <n v="100.79735795957883"/>
  </r>
  <r>
    <x v="6"/>
    <x v="8"/>
    <n v="21.179169021632752"/>
    <x v="1"/>
    <x v="0"/>
    <n v="69.313089566081572"/>
  </r>
  <r>
    <x v="7"/>
    <x v="8"/>
    <n v="26.758230292300969"/>
    <x v="1"/>
    <x v="0"/>
    <n v="87.571689474014647"/>
  </r>
  <r>
    <x v="8"/>
    <x v="8"/>
    <n v="30.799439103412986"/>
    <x v="1"/>
    <x v="0"/>
    <n v="100.79735795957883"/>
  </r>
  <r>
    <x v="9"/>
    <x v="8"/>
    <n v="21.179169021632752"/>
    <x v="1"/>
    <x v="0"/>
    <n v="69.313089566081572"/>
  </r>
  <r>
    <x v="10"/>
    <x v="8"/>
    <n v="5.6583540865099433"/>
    <x v="1"/>
    <x v="0"/>
    <n v="18.518101592856162"/>
  </r>
  <r>
    <x v="11"/>
    <x v="8"/>
    <n v="6.4844317433368879"/>
    <x v="1"/>
    <x v="0"/>
    <n v="21.221606841702354"/>
  </r>
  <r>
    <x v="12"/>
    <x v="8"/>
    <n v="4.517918618514571"/>
    <x v="1"/>
    <x v="0"/>
    <n v="14.785797192397421"/>
  </r>
  <r>
    <x v="0"/>
    <x v="8"/>
    <n v="7.1600309404908575"/>
    <x v="1"/>
    <x v="1"/>
    <n v="23.432641071386964"/>
  </r>
  <r>
    <x v="4"/>
    <x v="8"/>
    <n v="15.192002580684411"/>
    <x v="1"/>
    <x v="1"/>
    <n v="49.71888342208161"/>
  </r>
  <r>
    <x v="5"/>
    <x v="8"/>
    <n v="16.634910264968344"/>
    <x v="1"/>
    <x v="1"/>
    <n v="54.441088974820964"/>
  </r>
  <r>
    <x v="6"/>
    <x v="8"/>
    <n v="13.200006929184553"/>
    <x v="1"/>
    <x v="1"/>
    <n v="43.199677079914629"/>
  </r>
  <r>
    <x v="7"/>
    <x v="8"/>
    <n v="15.192002580684411"/>
    <x v="1"/>
    <x v="1"/>
    <n v="49.71888342208161"/>
  </r>
  <r>
    <x v="8"/>
    <x v="8"/>
    <n v="16.634910264968344"/>
    <x v="1"/>
    <x v="1"/>
    <n v="54.441088974820964"/>
  </r>
  <r>
    <x v="9"/>
    <x v="8"/>
    <n v="13.200006929184553"/>
    <x v="1"/>
    <x v="1"/>
    <n v="43.199677079914629"/>
  </r>
  <r>
    <x v="10"/>
    <x v="8"/>
    <n v="5.6583540865099433"/>
    <x v="1"/>
    <x v="1"/>
    <n v="18.518101592856162"/>
  </r>
  <r>
    <x v="11"/>
    <x v="8"/>
    <n v="6.4844317433368879"/>
    <x v="1"/>
    <x v="1"/>
    <n v="21.221606841702354"/>
  </r>
  <r>
    <x v="12"/>
    <x v="8"/>
    <n v="4.517918618514571"/>
    <x v="1"/>
    <x v="1"/>
    <n v="14.785797192397421"/>
  </r>
  <r>
    <x v="0"/>
    <x v="9"/>
    <n v="2.0194475155941065"/>
    <x v="1"/>
    <x v="0"/>
    <n v="6.6090480877414652"/>
  </r>
  <r>
    <x v="4"/>
    <x v="9"/>
    <n v="2.2118503841835055"/>
    <x v="1"/>
    <x v="0"/>
    <n v="7.2387251657083294"/>
  </r>
  <r>
    <x v="5"/>
    <x v="9"/>
    <n v="2.2806218235100064"/>
    <x v="1"/>
    <x v="0"/>
    <n v="7.4637935302299612"/>
  </r>
  <r>
    <x v="6"/>
    <x v="9"/>
    <n v="2.1169084765494346"/>
    <x v="1"/>
    <x v="0"/>
    <n v="6.9280086810014287"/>
  </r>
  <r>
    <x v="7"/>
    <x v="9"/>
    <n v="2.1251326661399319"/>
    <x v="1"/>
    <x v="0"/>
    <n v="6.9549239952478157"/>
  </r>
  <r>
    <x v="8"/>
    <x v="9"/>
    <n v="2.4204212156051557"/>
    <x v="1"/>
    <x v="0"/>
    <n v="7.9213151532774653"/>
  </r>
  <r>
    <x v="9"/>
    <x v="9"/>
    <n v="1.7174742186320189"/>
    <x v="1"/>
    <x v="0"/>
    <n v="5.6207797492849769"/>
  </r>
  <r>
    <x v="10"/>
    <x v="9"/>
    <n v="2.1251326661399319"/>
    <x v="1"/>
    <x v="0"/>
    <n v="6.9549239952478157"/>
  </r>
  <r>
    <x v="11"/>
    <x v="9"/>
    <n v="2.4204212156051557"/>
    <x v="1"/>
    <x v="0"/>
    <n v="7.9213151532774653"/>
  </r>
  <r>
    <x v="12"/>
    <x v="9"/>
    <n v="1.7174742186320189"/>
    <x v="1"/>
    <x v="0"/>
    <n v="5.6207797492849769"/>
  </r>
  <r>
    <x v="0"/>
    <x v="9"/>
    <n v="1.9114330401548154"/>
    <x v="1"/>
    <x v="1"/>
    <n v="6.2555489961147002"/>
  </r>
  <r>
    <x v="4"/>
    <x v="9"/>
    <n v="2.1679922273469101"/>
    <x v="1"/>
    <x v="1"/>
    <n v="7.0951905279747551"/>
  </r>
  <r>
    <x v="5"/>
    <x v="9"/>
    <n v="2.2548114313302534"/>
    <x v="1"/>
    <x v="1"/>
    <n v="7.3793238315810861"/>
  </r>
  <r>
    <x v="6"/>
    <x v="9"/>
    <n v="2.0481346101998184"/>
    <x v="1"/>
    <x v="1"/>
    <n v="6.7029323735585988"/>
  </r>
  <r>
    <x v="7"/>
    <x v="9"/>
    <n v="2.0120914399212166"/>
    <x v="1"/>
    <x v="1"/>
    <n v="6.5849738508604476"/>
  </r>
  <r>
    <x v="8"/>
    <x v="9"/>
    <n v="2.2916728383686524"/>
    <x v="1"/>
    <x v="1"/>
    <n v="7.4999601986158195"/>
  </r>
  <r>
    <x v="9"/>
    <x v="9"/>
    <n v="1.6261173848839228"/>
    <x v="1"/>
    <x v="1"/>
    <n v="5.3217961397964473"/>
  </r>
  <r>
    <x v="10"/>
    <x v="9"/>
    <n v="2.0120914399212166"/>
    <x v="1"/>
    <x v="1"/>
    <n v="6.5849738508604476"/>
  </r>
  <r>
    <x v="11"/>
    <x v="9"/>
    <n v="2.2916728383686524"/>
    <x v="1"/>
    <x v="1"/>
    <n v="7.4999601986158195"/>
  </r>
  <r>
    <x v="12"/>
    <x v="9"/>
    <n v="1.6261173848839228"/>
    <x v="1"/>
    <x v="1"/>
    <n v="5.3217961397964473"/>
  </r>
  <r>
    <x v="0"/>
    <x v="10"/>
    <n v="5.6326918303044309"/>
    <x v="1"/>
    <x v="0"/>
    <n v="18.43411669897182"/>
  </r>
  <r>
    <x v="4"/>
    <x v="10"/>
    <n v="7.2941391246223324"/>
    <x v="1"/>
    <x v="0"/>
    <n v="23.871537071921967"/>
  </r>
  <r>
    <x v="5"/>
    <x v="10"/>
    <n v="6.689842740300552"/>
    <x v="1"/>
    <x v="0"/>
    <n v="21.893855635593088"/>
  </r>
  <r>
    <x v="6"/>
    <x v="10"/>
    <n v="8.1283960787555092"/>
    <x v="1"/>
    <x v="0"/>
    <n v="26.601810715986847"/>
  </r>
  <r>
    <x v="7"/>
    <x v="10"/>
    <n v="5.6326918303044309"/>
    <x v="1"/>
    <x v="0"/>
    <n v="18.43411669897182"/>
  </r>
  <r>
    <x v="8"/>
    <x v="10"/>
    <n v="5.6326918303044309"/>
    <x v="1"/>
    <x v="0"/>
    <n v="18.43411669897182"/>
  </r>
  <r>
    <x v="9"/>
    <x v="10"/>
    <n v="5.6326918303044309"/>
    <x v="1"/>
    <x v="0"/>
    <n v="18.43411669897182"/>
  </r>
  <r>
    <x v="10"/>
    <x v="10"/>
    <n v="5.6326918303044309"/>
    <x v="1"/>
    <x v="0"/>
    <n v="18.43411669897182"/>
  </r>
  <r>
    <x v="11"/>
    <x v="10"/>
    <n v="5.6326918303044309"/>
    <x v="1"/>
    <x v="0"/>
    <n v="18.43411669897182"/>
  </r>
  <r>
    <x v="12"/>
    <x v="10"/>
    <n v="5.6326918303044309"/>
    <x v="1"/>
    <x v="0"/>
    <n v="18.43411669897182"/>
  </r>
  <r>
    <x v="0"/>
    <x v="10"/>
    <n v="5.1415219215438395"/>
    <x v="1"/>
    <x v="1"/>
    <n v="16.826664402646436"/>
  </r>
  <r>
    <x v="4"/>
    <x v="10"/>
    <n v="7.1826580235439055"/>
    <x v="1"/>
    <x v="1"/>
    <n v="23.506692750783504"/>
  </r>
  <r>
    <x v="5"/>
    <x v="10"/>
    <n v="6.5648997963769578"/>
    <x v="1"/>
    <x v="1"/>
    <n v="21.484954726686777"/>
  </r>
  <r>
    <x v="6"/>
    <x v="10"/>
    <n v="8.0354996263700151"/>
    <x v="1"/>
    <x v="1"/>
    <n v="26.297788394903801"/>
  </r>
  <r>
    <x v="7"/>
    <x v="10"/>
    <n v="5.1415219215438395"/>
    <x v="1"/>
    <x v="1"/>
    <n v="16.826664402646436"/>
  </r>
  <r>
    <x v="8"/>
    <x v="10"/>
    <n v="5.1415219215438395"/>
    <x v="1"/>
    <x v="1"/>
    <n v="16.826664402646436"/>
  </r>
  <r>
    <x v="9"/>
    <x v="10"/>
    <n v="5.1415219215438395"/>
    <x v="1"/>
    <x v="1"/>
    <n v="16.826664402646436"/>
  </r>
  <r>
    <x v="10"/>
    <x v="10"/>
    <n v="5.1415219215438395"/>
    <x v="1"/>
    <x v="1"/>
    <n v="16.826664402646436"/>
  </r>
  <r>
    <x v="11"/>
    <x v="10"/>
    <n v="5.1415219215438395"/>
    <x v="1"/>
    <x v="1"/>
    <n v="16.826664402646436"/>
  </r>
  <r>
    <x v="12"/>
    <x v="10"/>
    <n v="5.1415219215438395"/>
    <x v="1"/>
    <x v="1"/>
    <n v="16.826664402646436"/>
  </r>
  <r>
    <x v="0"/>
    <x v="6"/>
    <n v="85.624142342303202"/>
    <x v="1"/>
    <x v="0"/>
    <n v="280.22222406974521"/>
  </r>
  <r>
    <x v="4"/>
    <x v="6"/>
    <n v="76.323631574386681"/>
    <x v="1"/>
    <x v="0"/>
    <n v="249.78443233162503"/>
  </r>
  <r>
    <x v="5"/>
    <x v="6"/>
    <n v="78.251297428274043"/>
    <x v="1"/>
    <x v="0"/>
    <n v="256.0931064749542"/>
  </r>
  <r>
    <x v="6"/>
    <x v="6"/>
    <n v="73.662406576895592"/>
    <x v="1"/>
    <x v="0"/>
    <n v="241.07503837862401"/>
  </r>
  <r>
    <x v="7"/>
    <x v="6"/>
    <n v="85.624142342303216"/>
    <x v="1"/>
    <x v="0"/>
    <n v="280.22222406974527"/>
  </r>
  <r>
    <x v="8"/>
    <x v="6"/>
    <n v="85.624142342303202"/>
    <x v="1"/>
    <x v="0"/>
    <n v="280.22222406974521"/>
  </r>
  <r>
    <x v="9"/>
    <x v="6"/>
    <n v="85.624142342303202"/>
    <x v="1"/>
    <x v="0"/>
    <n v="280.22222406974521"/>
  </r>
  <r>
    <x v="10"/>
    <x v="6"/>
    <n v="85.624142342303216"/>
    <x v="1"/>
    <x v="0"/>
    <n v="280.22222406974527"/>
  </r>
  <r>
    <x v="11"/>
    <x v="6"/>
    <n v="85.624142342303202"/>
    <x v="1"/>
    <x v="0"/>
    <n v="280.22222406974521"/>
  </r>
  <r>
    <x v="12"/>
    <x v="6"/>
    <n v="85.624142342303202"/>
    <x v="1"/>
    <x v="0"/>
    <n v="280.22222406974521"/>
  </r>
  <r>
    <x v="0"/>
    <x v="6"/>
    <n v="85.456231453950437"/>
    <x v="1"/>
    <x v="1"/>
    <n v="279.67270192222242"/>
  </r>
  <r>
    <x v="4"/>
    <x v="6"/>
    <n v="76.293395840855894"/>
    <x v="1"/>
    <x v="1"/>
    <n v="249.68547981350807"/>
  </r>
  <r>
    <x v="5"/>
    <x v="6"/>
    <n v="78.227164878471925"/>
    <x v="1"/>
    <x v="1"/>
    <n v="256.01412785288528"/>
  </r>
  <r>
    <x v="6"/>
    <x v="6"/>
    <n v="73.623745137700993"/>
    <x v="1"/>
    <x v="1"/>
    <n v="240.94851104438763"/>
  </r>
  <r>
    <x v="7"/>
    <x v="6"/>
    <n v="85.456231453950437"/>
    <x v="1"/>
    <x v="1"/>
    <n v="279.67270192222242"/>
  </r>
  <r>
    <x v="8"/>
    <x v="6"/>
    <n v="85.456231453950437"/>
    <x v="1"/>
    <x v="1"/>
    <n v="279.67270192222242"/>
  </r>
  <r>
    <x v="9"/>
    <x v="6"/>
    <n v="85.456231453950437"/>
    <x v="1"/>
    <x v="1"/>
    <n v="279.67270192222242"/>
  </r>
  <r>
    <x v="10"/>
    <x v="6"/>
    <n v="85.456231453950437"/>
    <x v="1"/>
    <x v="1"/>
    <n v="279.67270192222242"/>
  </r>
  <r>
    <x v="11"/>
    <x v="6"/>
    <n v="85.456231453950437"/>
    <x v="1"/>
    <x v="1"/>
    <n v="279.67270192222242"/>
  </r>
  <r>
    <x v="12"/>
    <x v="6"/>
    <n v="85.456231453950437"/>
    <x v="1"/>
    <x v="1"/>
    <n v="279.67270192222242"/>
  </r>
  <r>
    <x v="0"/>
    <x v="7"/>
    <n v="105.14963696391976"/>
    <x v="1"/>
    <x v="0"/>
    <n v="344.12333162253896"/>
  </r>
  <r>
    <x v="4"/>
    <x v="7"/>
    <n v="112.5878513754935"/>
    <x v="1"/>
    <x v="0"/>
    <n v="368.46638404327001"/>
  </r>
  <r>
    <x v="5"/>
    <x v="7"/>
    <n v="118.0212010954976"/>
    <x v="1"/>
    <x v="0"/>
    <n v="386.24811360035608"/>
  </r>
  <r>
    <x v="6"/>
    <x v="7"/>
    <n v="105.08688015383328"/>
    <x v="1"/>
    <x v="0"/>
    <n v="343.91794734169383"/>
  </r>
  <r>
    <x v="7"/>
    <x v="7"/>
    <n v="120.14019713104854"/>
    <x v="1"/>
    <x v="0"/>
    <n v="393.18295423797952"/>
  </r>
  <r>
    <x v="8"/>
    <x v="7"/>
    <n v="124.47669449162576"/>
    <x v="1"/>
    <x v="0"/>
    <n v="407.3750138815733"/>
  </r>
  <r>
    <x v="9"/>
    <x v="7"/>
    <n v="114.15347741287239"/>
    <x v="1"/>
    <x v="0"/>
    <n v="373.59021008408354"/>
  </r>
  <r>
    <x v="10"/>
    <x v="7"/>
    <n v="99.040320925257518"/>
    <x v="1"/>
    <x v="0"/>
    <n v="324.12936635682104"/>
  </r>
  <r>
    <x v="11"/>
    <x v="7"/>
    <n v="100.16168713154967"/>
    <x v="1"/>
    <x v="0"/>
    <n v="327.79926276369685"/>
  </r>
  <r>
    <x v="12"/>
    <x v="7"/>
    <n v="97.492227009754217"/>
    <x v="1"/>
    <x v="0"/>
    <n v="319.0629177103994"/>
  </r>
  <r>
    <x v="0"/>
    <x v="7"/>
    <n v="99.669217356139953"/>
    <x v="1"/>
    <x v="1"/>
    <n v="326.18755639237054"/>
  </r>
  <r>
    <x v="4"/>
    <x v="7"/>
    <n v="100.83604867243112"/>
    <x v="1"/>
    <x v="1"/>
    <n v="330.00624651434794"/>
  </r>
  <r>
    <x v="5"/>
    <x v="7"/>
    <n v="103.6817863711475"/>
    <x v="1"/>
    <x v="1"/>
    <n v="339.31949538597416"/>
  </r>
  <r>
    <x v="6"/>
    <x v="7"/>
    <n v="96.907386303455397"/>
    <x v="1"/>
    <x v="1"/>
    <n v="317.14890889276472"/>
  </r>
  <r>
    <x v="7"/>
    <x v="7"/>
    <n v="107.80184739609992"/>
    <x v="1"/>
    <x v="1"/>
    <n v="352.80322359781098"/>
  </r>
  <r>
    <x v="8"/>
    <x v="7"/>
    <n v="109.52433647883127"/>
    <x v="1"/>
    <x v="1"/>
    <n v="358.44041549830564"/>
  </r>
  <r>
    <x v="9"/>
    <x v="7"/>
    <n v="105.42387768956277"/>
    <x v="1"/>
    <x v="1"/>
    <n v="345.02083954457999"/>
  </r>
  <r>
    <x v="10"/>
    <x v="7"/>
    <n v="98.268198901925444"/>
    <x v="1"/>
    <x v="1"/>
    <n v="321.60244176858549"/>
  </r>
  <r>
    <x v="11"/>
    <x v="7"/>
    <n v="99.373857957199832"/>
    <x v="1"/>
    <x v="1"/>
    <n v="325.22093336518708"/>
  </r>
  <r>
    <x v="12"/>
    <x v="7"/>
    <n v="96.741789378892776"/>
    <x v="1"/>
    <x v="1"/>
    <n v="316.60695965706276"/>
  </r>
  <r>
    <x v="13"/>
    <x v="11"/>
    <m/>
    <x v="2"/>
    <x v="2"/>
    <m/>
  </r>
  <r>
    <x v="13"/>
    <x v="11"/>
    <m/>
    <x v="2"/>
    <x v="2"/>
    <m/>
  </r>
  <r>
    <x v="13"/>
    <x v="11"/>
    <m/>
    <x v="2"/>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9BC585-3DAC-4ADB-BC45-AD0D1DD279A1}" name="PivotChartTable3"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1:L9" firstHeaderRow="1" firstDataRow="2" firstDataCol="1"/>
  <pivotFields count="4">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axis="axisCol" allDrilled="1" subtotalTop="0" showAll="0" dataSourceSort="1" defaultSubtotal="0" defaultAttributeDrillState="1">
      <items count="11">
        <item s="1" x="0"/>
        <item s="1" x="1"/>
        <item s="1" x="2"/>
        <item s="1" x="3"/>
        <item s="1" x="4"/>
        <item s="1" x="5"/>
        <item s="1" x="6"/>
        <item s="1" x="7"/>
        <item s="1" x="8"/>
        <item s="1" x="9"/>
        <item x="10"/>
      </items>
    </pivotField>
    <pivotField dataField="1" subtotalTop="0" showAll="0" defaultSubtotal="0"/>
  </pivotFields>
  <rowFields count="2">
    <field x="0"/>
    <field x="1"/>
  </rowFields>
  <rowItems count="7">
    <i>
      <x/>
    </i>
    <i r="1">
      <x/>
    </i>
    <i r="1">
      <x v="1"/>
    </i>
    <i>
      <x v="1"/>
    </i>
    <i r="1">
      <x/>
    </i>
    <i r="1">
      <x v="1"/>
    </i>
    <i t="grand">
      <x/>
    </i>
  </rowItems>
  <colFields count="1">
    <field x="2"/>
  </colFields>
  <colItems count="11">
    <i>
      <x/>
    </i>
    <i>
      <x v="1"/>
    </i>
    <i>
      <x v="2"/>
    </i>
    <i>
      <x v="3"/>
    </i>
    <i>
      <x v="4"/>
    </i>
    <i>
      <x v="5"/>
    </i>
    <i>
      <x v="6"/>
    </i>
    <i>
      <x v="7"/>
    </i>
    <i>
      <x v="8"/>
    </i>
    <i>
      <x v="9"/>
    </i>
    <i t="grand">
      <x/>
    </i>
  </colItems>
  <dataFields count="1">
    <dataField name="Average of CI (kg Co2e/mmbtu fuel)" fld="3" subtotal="average" baseField="0" baseItem="0"/>
  </dataFields>
  <chartFormats count="12">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2" count="1" selected="0">
            <x v="1"/>
          </reference>
        </references>
      </pivotArea>
    </chartFormat>
    <chartFormat chart="0" format="3" series="1">
      <pivotArea type="data" outline="0" fieldPosition="0">
        <references count="2">
          <reference field="4294967294" count="1" selected="0">
            <x v="0"/>
          </reference>
          <reference field="2" count="1" selected="0">
            <x v="2"/>
          </reference>
        </references>
      </pivotArea>
    </chartFormat>
    <chartFormat chart="0" format="4" series="1">
      <pivotArea type="data" outline="0" fieldPosition="0">
        <references count="2">
          <reference field="4294967294" count="1" selected="0">
            <x v="0"/>
          </reference>
          <reference field="2" count="1" selected="0">
            <x v="3"/>
          </reference>
        </references>
      </pivotArea>
    </chartFormat>
    <chartFormat chart="0" format="5" series="1">
      <pivotArea type="data" outline="0" fieldPosition="0">
        <references count="2">
          <reference field="4294967294" count="1" selected="0">
            <x v="0"/>
          </reference>
          <reference field="2" count="1" selected="0">
            <x v="4"/>
          </reference>
        </references>
      </pivotArea>
    </chartFormat>
    <chartFormat chart="0" format="6" series="1">
      <pivotArea type="data" outline="0" fieldPosition="0">
        <references count="2">
          <reference field="4294967294" count="1" selected="0">
            <x v="0"/>
          </reference>
          <reference field="2" count="1" selected="0">
            <x v="5"/>
          </reference>
        </references>
      </pivotArea>
    </chartFormat>
    <chartFormat chart="0" format="7" series="1">
      <pivotArea type="data" outline="0" fieldPosition="0">
        <references count="2">
          <reference field="4294967294" count="1" selected="0">
            <x v="0"/>
          </reference>
          <reference field="2" count="1" selected="0">
            <x v="6"/>
          </reference>
        </references>
      </pivotArea>
    </chartFormat>
    <chartFormat chart="0" format="8" series="1">
      <pivotArea type="data" outline="0" fieldPosition="0">
        <references count="2">
          <reference field="4294967294" count="1" selected="0">
            <x v="0"/>
          </reference>
          <reference field="2" count="1" selected="0">
            <x v="10"/>
          </reference>
        </references>
      </pivotArea>
    </chartFormat>
    <chartFormat chart="0" format="9" series="1">
      <pivotArea type="data" outline="0" fieldPosition="0">
        <references count="2">
          <reference field="4294967294" count="1" selected="0">
            <x v="0"/>
          </reference>
          <reference field="2" count="1" selected="0">
            <x v="7"/>
          </reference>
        </references>
      </pivotArea>
    </chartFormat>
    <chartFormat chart="0" format="10" series="1">
      <pivotArea type="data" outline="0" fieldPosition="0">
        <references count="2">
          <reference field="4294967294" count="1" selected="0">
            <x v="0"/>
          </reference>
          <reference field="2" count="1" selected="0">
            <x v="8"/>
          </reference>
        </references>
      </pivotArea>
    </chartFormat>
    <chartFormat chart="0" format="11" series="1">
      <pivotArea type="data" outline="0" fieldPosition="0">
        <references count="2">
          <reference field="4294967294" count="1" selected="0">
            <x v="0"/>
          </reference>
          <reference field="2" count="1" selected="0">
            <x v="9"/>
          </reference>
        </references>
      </pivotArea>
    </chartFormat>
    <chartFormat chart="0" format="12" series="1">
      <pivotArea type="data" outline="0" fieldPosition="0">
        <references count="2">
          <reference field="4294967294" count="1" selected="0">
            <x v="0"/>
          </reference>
          <reference field="2" count="1" selected="0">
            <x v="0"/>
          </reference>
        </references>
      </pivotArea>
    </chartFormat>
  </chartFormat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members count="11" level="1">
        <member name="[Range 4].[Supply Chain Point].&amp;"/>
        <member name=""/>
        <member name=""/>
        <member name=""/>
        <member name=""/>
        <member name=""/>
        <member name=""/>
        <member name=""/>
        <member name=""/>
        <member name=""/>
        <member name=""/>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CI (kg Co2e/mmbtu fuel)"/>
    <pivotHierarchy dragToData="1"/>
    <pivotHierarchy dragToData="1"/>
    <pivotHierarchy dragToData="1"/>
    <pivotHierarchy dragToData="1"/>
    <pivotHierarchy dragToData="1"/>
    <pivotHierarchy dragToData="1"/>
    <pivotHierarchy dragToData="1"/>
  </pivotHierarchies>
  <rowHierarchiesUsage count="2">
    <rowHierarchyUsage hierarchyUsage="29"/>
    <rowHierarchyUsage hierarchyUsage="28"/>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7" columnCount="11" cacheId="588797620">
        <x15:pivotRow count="11">
          <x15:c t="e">
            <x15:v/>
          </x15:c>
          <x15:c t="e">
            <x15:v/>
          </x15:c>
          <x15:c t="e">
            <x15:v/>
          </x15:c>
          <x15:c t="e">
            <x15:v/>
          </x15:c>
          <x15:c t="e">
            <x15:v/>
          </x15:c>
          <x15:c t="e">
            <x15:v/>
          </x15:c>
          <x15:c t="e">
            <x15:v/>
          </x15:c>
          <x15:c t="e">
            <x15:v/>
          </x15:c>
          <x15:c t="e">
            <x15:v/>
          </x15:c>
          <x15:c t="e">
            <x15:v/>
          </x15:c>
          <x15:c t="e">
            <x15:v/>
          </x15:c>
        </x15:pivotRow>
        <x15:pivotRow count="11">
          <x15:c>
            <x15:v>82.760633197567884</x15:v>
          </x15:c>
          <x15:c t="e">
            <x15:v/>
          </x15:c>
          <x15:c t="e">
            <x15:v/>
          </x15:c>
          <x15:c t="e">
            <x15:v/>
          </x15:c>
          <x15:c t="e">
            <x15:v/>
          </x15:c>
          <x15:c t="e">
            <x15:v/>
          </x15:c>
          <x15:c>
            <x15:v>6.1541220755809416</x15:v>
          </x15:c>
          <x15:c>
            <x15:v>2.115488440059127</x15:v>
          </x15:c>
          <x15:c>
            <x15:v>18.600773655877287</x15:v>
          </x15:c>
          <x15:c t="e">
            <x15:v/>
          </x15:c>
          <x15:c>
            <x15:v>27.407754342271311</x15:v>
          </x15:c>
        </x15:pivotRow>
        <x15:pivotRow count="11">
          <x15:c>
            <x15:v>59.555374269223613</x15:v>
          </x15:c>
          <x15:c>
            <x15:v>0.68291668585196075</x15:v>
          </x15:c>
          <x15:c>
            <x15:v>9.5895795705264639</x15:v>
          </x15:c>
          <x15:c>
            <x15:v>2.4107051693596553</x15:v>
          </x15:c>
          <x15:c>
            <x15:v>1.8009749696735824</x15:v>
          </x15:c>
          <x15:c>
            <x15:v>4.5000220391822499</x15:v>
          </x15:c>
          <x15:c t="e">
            <x15:v/>
          </x15:c>
          <x15:c t="e">
            <x15:v/>
          </x15:c>
          <x15:c t="e">
            <x15:v/>
          </x15:c>
          <x15:c>
            <x15:v>17.554988751571024</x15:v>
          </x15:c>
          <x15:c>
            <x15:v>13.727794493626932</x15:v>
          </x15:c>
        </x15:pivotRow>
        <x15:pivotRow count="11">
          <x15:c t="e">
            <x15:v/>
          </x15:c>
          <x15:c t="e">
            <x15:v/>
          </x15:c>
          <x15:c t="e">
            <x15:v/>
          </x15:c>
          <x15:c t="e">
            <x15:v/>
          </x15:c>
          <x15:c t="e">
            <x15:v/>
          </x15:c>
          <x15:c t="e">
            <x15:v/>
          </x15:c>
          <x15:c t="e">
            <x15:v/>
          </x15:c>
          <x15:c t="e">
            <x15:v/>
          </x15:c>
          <x15:c t="e">
            <x15:v/>
          </x15:c>
          <x15:c t="e">
            <x15:v/>
          </x15:c>
          <x15:c t="e">
            <x15:v/>
          </x15:c>
        </x15:pivotRow>
        <x15:pivotRow count="11">
          <x15:c>
            <x15:v>82.633792603468166</x15:v>
          </x15:c>
          <x15:c t="e">
            <x15:v/>
          </x15:c>
          <x15:c t="e">
            <x15:v/>
          </x15:c>
          <x15:c t="e">
            <x15:v/>
          </x15:c>
          <x15:c t="e">
            <x15:v/>
          </x15:c>
          <x15:c t="e">
            <x15:v/>
          </x15:c>
          <x15:c>
            <x15:v>5.7773710897097761</x15:v>
          </x15:c>
          <x15:c>
            <x15:v>2.0242134635379379</x15:v>
          </x15:c>
          <x15:c>
            <x15:v>11.387457493852688</x15:v>
          </x15:c>
          <x15:c t="e">
            <x15:v/>
          </x15:c>
          <x15:c>
            <x15:v>25.455708662642145</x15:v>
          </x15:c>
        </x15:pivotRow>
        <x15:pivotRow count="11">
          <x15:c>
            <x15:v>59.483286073921214</x15:v>
          </x15:c>
          <x15:c>
            <x15:v>0.36156905744174728</x15:v>
          </x15:c>
          <x15:c>
            <x15:v>7.5985705556494763</x15:v>
          </x15:c>
          <x15:c>
            <x15:v>1.2321278380509162</x15:v>
          </x15:c>
          <x15:c>
            <x15:v>0.65053398904573045</x15:v>
          </x15:c>
          <x15:c>
            <x15:v>2.2002193386911824</x15:v>
          </x15:c>
          <x15:c t="e">
            <x15:v/>
          </x15:c>
          <x15:c t="e">
            <x15:v/>
          </x15:c>
          <x15:c t="e">
            <x15:v/>
          </x15:c>
          <x15:c>
            <x15:v>9.3333341532909166</x15:v>
          </x15:c>
          <x15:c>
            <x15:v>11.551377286584454</x15:v>
          </x15:c>
        </x15:pivotRow>
        <x15:pivotRow count="11">
          <x15:c>
            <x15:v>76.07496069224787</x15:v>
          </x15:c>
          <x15:c>
            <x15:v>0.52224287164685401</x15:v>
          </x15:c>
          <x15:c>
            <x15:v>8.5940750630879705</x15:v>
          </x15:c>
          <x15:c>
            <x15:v>1.8214165037052858</x15:v>
          </x15:c>
          <x15:c>
            <x15:v>1.2257544793596564</x15:v>
          </x15:c>
          <x15:c>
            <x15:v>3.3501206889367161</x15:v>
          </x15:c>
          <x15:c>
            <x15:v>5.9657465826453588</x15:v>
          </x15:c>
          <x15:c>
            <x15:v>2.0698509517985322</x15:v>
          </x15:c>
          <x15:c>
            <x15:v>14.994115574864983</x15:v>
          </x15:c>
          <x15:c>
            <x15:v>13.44416145243097</x15:v>
          </x15:c>
          <x15:c>
            <x15:v>20.752612720900409</x15:v>
          </x15:c>
        </x15:pivotRow>
      </x15:pivotTableData>
    </ext>
    <ext xmlns:x15="http://schemas.microsoft.com/office/spreadsheetml/2010/11/main" uri="{E67621CE-5B39-4880-91FE-76760E9C1902}">
      <x15:pivotTableUISettings sourceDataName="WorksheetConnection_Adjustable_HeatRate_CI!$A:$E">
        <x15:activeTabTopLevelEntity name="[Range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2BF1BA-6869-4F44-BA08-8C076307D2BB}" name="PivotTable1" cacheId="3"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outline="1" outlineData="1" multipleFieldFilters="0" chartFormat="24">
  <location ref="I12:S19" firstHeaderRow="1" firstDataRow="2" firstDataCol="1"/>
  <pivotFields count="5">
    <pivotField allDrilled="1" subtotalTop="0" showAll="0" dataSourceSort="1" defaultSubtotal="0" defaultAttributeDrillState="1">
      <items count="10">
        <item s="1" x="0"/>
        <item s="1" x="1"/>
        <item s="1" x="2"/>
        <item s="1" x="3"/>
        <item s="1" x="4"/>
        <item s="1" x="5"/>
        <item s="1" x="6"/>
        <item s="1" x="7"/>
        <item s="1" x="8"/>
        <item s="1" x="9"/>
      </items>
    </pivotField>
    <pivotField axis="axisRow" allDrilled="1" subtotalTop="0" showAll="0" dataSourceSort="1" defaultSubtotal="0" defaultAttributeDrillState="1">
      <items count="2">
        <item s="1" x="0"/>
        <item s="1" x="1"/>
      </items>
    </pivotField>
    <pivotField axis="axisCol" allDrilled="1" subtotalTop="0" showAll="0" dataSourceSort="1" defaultSubtotal="0" defaultAttributeDrillState="1">
      <items count="11">
        <item s="1" x="0"/>
        <item s="1" x="1"/>
        <item s="1" x="2"/>
        <item s="1" x="3"/>
        <item s="1" x="4"/>
        <item s="1" x="5"/>
        <item s="1" x="6"/>
        <item s="1" x="7"/>
        <item s="1" x="8"/>
        <item s="1" x="9"/>
        <item x="10"/>
      </items>
    </pivotField>
    <pivotField axis="axisRow" allDrilled="1" subtotalTop="0" showAll="0" dataSourceSort="1" defaultSubtotal="0" defaultAttributeDrillState="1">
      <items count="2">
        <item x="0"/>
        <item x="1"/>
      </items>
    </pivotField>
    <pivotField dataField="1" subtotalTop="0" showAll="0" defaultSubtotal="0"/>
  </pivotFields>
  <rowFields count="2">
    <field x="1"/>
    <field x="3"/>
  </rowFields>
  <rowItems count="6">
    <i>
      <x/>
    </i>
    <i r="1">
      <x/>
    </i>
    <i r="1">
      <x v="1"/>
    </i>
    <i>
      <x v="1"/>
    </i>
    <i r="1">
      <x/>
    </i>
    <i r="1">
      <x v="1"/>
    </i>
  </rowItems>
  <colFields count="1">
    <field x="2"/>
  </colFields>
  <colItems count="10">
    <i>
      <x/>
    </i>
    <i>
      <x v="1"/>
    </i>
    <i>
      <x v="2"/>
    </i>
    <i>
      <x v="3"/>
    </i>
    <i>
      <x v="4"/>
    </i>
    <i>
      <x v="5"/>
    </i>
    <i>
      <x v="6"/>
    </i>
    <i>
      <x v="7"/>
    </i>
    <i>
      <x v="8"/>
    </i>
    <i>
      <x v="9"/>
    </i>
  </colItems>
  <dataFields count="1">
    <dataField name="Average of CI (g CO2e /kWh)" fld="4" subtotal="average" baseField="1" baseItem="0"/>
  </dataFields>
  <chartFormats count="12">
    <chartFormat chart="2" format="53" series="1">
      <pivotArea type="data" outline="0" fieldPosition="0">
        <references count="1">
          <reference field="4294967294" count="1" selected="0">
            <x v="0"/>
          </reference>
        </references>
      </pivotArea>
    </chartFormat>
    <chartFormat chart="2" format="54" series="1">
      <pivotArea type="data" outline="0" fieldPosition="0">
        <references count="2">
          <reference field="4294967294" count="1" selected="0">
            <x v="0"/>
          </reference>
          <reference field="2" count="1" selected="0">
            <x v="0"/>
          </reference>
        </references>
      </pivotArea>
    </chartFormat>
    <chartFormat chart="2" format="55" series="1">
      <pivotArea type="data" outline="0" fieldPosition="0">
        <references count="2">
          <reference field="4294967294" count="1" selected="0">
            <x v="0"/>
          </reference>
          <reference field="2" count="1" selected="0">
            <x v="1"/>
          </reference>
        </references>
      </pivotArea>
    </chartFormat>
    <chartFormat chart="2" format="56" series="1">
      <pivotArea type="data" outline="0" fieldPosition="0">
        <references count="2">
          <reference field="4294967294" count="1" selected="0">
            <x v="0"/>
          </reference>
          <reference field="2" count="1" selected="0">
            <x v="2"/>
          </reference>
        </references>
      </pivotArea>
    </chartFormat>
    <chartFormat chart="2" format="57" series="1">
      <pivotArea type="data" outline="0" fieldPosition="0">
        <references count="2">
          <reference field="4294967294" count="1" selected="0">
            <x v="0"/>
          </reference>
          <reference field="2" count="1" selected="0">
            <x v="3"/>
          </reference>
        </references>
      </pivotArea>
    </chartFormat>
    <chartFormat chart="2" format="58" series="1">
      <pivotArea type="data" outline="0" fieldPosition="0">
        <references count="2">
          <reference field="4294967294" count="1" selected="0">
            <x v="0"/>
          </reference>
          <reference field="2" count="1" selected="0">
            <x v="4"/>
          </reference>
        </references>
      </pivotArea>
    </chartFormat>
    <chartFormat chart="2" format="59" series="1">
      <pivotArea type="data" outline="0" fieldPosition="0">
        <references count="2">
          <reference field="4294967294" count="1" selected="0">
            <x v="0"/>
          </reference>
          <reference field="2" count="1" selected="0">
            <x v="5"/>
          </reference>
        </references>
      </pivotArea>
    </chartFormat>
    <chartFormat chart="2" format="60" series="1">
      <pivotArea type="data" outline="0" fieldPosition="0">
        <references count="2">
          <reference field="4294967294" count="1" selected="0">
            <x v="0"/>
          </reference>
          <reference field="2" count="1" selected="0">
            <x v="6"/>
          </reference>
        </references>
      </pivotArea>
    </chartFormat>
    <chartFormat chart="2" format="61" series="1">
      <pivotArea type="data" outline="0" fieldPosition="0">
        <references count="2">
          <reference field="4294967294" count="1" selected="0">
            <x v="0"/>
          </reference>
          <reference field="2" count="1" selected="0">
            <x v="10"/>
          </reference>
        </references>
      </pivotArea>
    </chartFormat>
    <chartFormat chart="2" format="62" series="1">
      <pivotArea type="data" outline="0" fieldPosition="0">
        <references count="2">
          <reference field="4294967294" count="1" selected="0">
            <x v="0"/>
          </reference>
          <reference field="2" count="1" selected="0">
            <x v="7"/>
          </reference>
        </references>
      </pivotArea>
    </chartFormat>
    <chartFormat chart="2" format="63" series="1">
      <pivotArea type="data" outline="0" fieldPosition="0">
        <references count="2">
          <reference field="4294967294" count="1" selected="0">
            <x v="0"/>
          </reference>
          <reference field="2" count="1" selected="0">
            <x v="8"/>
          </reference>
        </references>
      </pivotArea>
    </chartFormat>
    <chartFormat chart="2" format="64" series="1">
      <pivotArea type="data" outline="0" fieldPosition="0">
        <references count="2">
          <reference field="4294967294" count="1" selected="0">
            <x v="0"/>
          </reference>
          <reference field="2" count="1" selected="0">
            <x v="9"/>
          </reference>
        </references>
      </pivotArea>
    </chartFormat>
  </chartFormats>
  <pivotHierarchies count="59">
    <pivotHierarchy dragToData="1"/>
    <pivotHierarchy dragToData="1">
      <members count="11" level="1">
        <member name="[Range].[Supply Chain Point].&amp;"/>
        <member name=""/>
        <member name=""/>
        <member name=""/>
        <member name=""/>
        <member name=""/>
        <member name=""/>
        <member name=""/>
        <member name=""/>
        <member name=""/>
        <member nam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Average of CI (kg Co2e/mmbtu fuel)"/>
    <pivotHierarchy dragToData="1" caption="Average of CI (kg CO2e/mmbtu elec)"/>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caption="Average of CI (g CO2e /kWh)"/>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3"/>
    <rowHierarchyUsage hierarchyUsage="4"/>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djustable_HeatRate_CI!$A:$G">
        <x15:activeTabTopLevelEntity name="[Range 3]"/>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E5BA2F-945C-4B41-947F-BB0B76160536}"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23:O56" firstHeaderRow="0" firstDataRow="1" firstDataCol="1"/>
  <pivotFields count="5">
    <pivotField axis="axisRow" allDrilled="1" subtotalTop="0" showAll="0" sortType="a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1"/>
            </reference>
          </references>
        </pivotArea>
      </autoSortScope>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s>
  <rowFields count="3">
    <field x="2"/>
    <field x="1"/>
    <field x="0"/>
  </rowFields>
  <rowItems count="33">
    <i>
      <x/>
    </i>
    <i r="1">
      <x/>
    </i>
    <i r="2">
      <x v="3"/>
    </i>
    <i r="2">
      <x v="1"/>
    </i>
    <i r="2">
      <x v="4"/>
    </i>
    <i r="2">
      <x/>
    </i>
    <i r="2">
      <x v="2"/>
    </i>
    <i r="1">
      <x v="1"/>
    </i>
    <i r="2">
      <x v="5"/>
    </i>
    <i r="2">
      <x v="8"/>
    </i>
    <i r="2">
      <x v="7"/>
    </i>
    <i r="2">
      <x v="9"/>
    </i>
    <i r="2">
      <x v="6"/>
    </i>
    <i r="2">
      <x v="10"/>
    </i>
    <i r="2">
      <x/>
    </i>
    <i r="2">
      <x v="2"/>
    </i>
    <i>
      <x v="1"/>
    </i>
    <i r="1">
      <x/>
    </i>
    <i r="2">
      <x v="3"/>
    </i>
    <i r="2">
      <x v="1"/>
    </i>
    <i r="2">
      <x v="4"/>
    </i>
    <i r="2">
      <x/>
    </i>
    <i r="2">
      <x v="2"/>
    </i>
    <i r="1">
      <x v="1"/>
    </i>
    <i r="2">
      <x v="5"/>
    </i>
    <i r="2">
      <x v="8"/>
    </i>
    <i r="2">
      <x v="7"/>
    </i>
    <i r="2">
      <x v="9"/>
    </i>
    <i r="2">
      <x v="6"/>
    </i>
    <i r="2">
      <x v="10"/>
    </i>
    <i r="2">
      <x/>
    </i>
    <i r="2">
      <x v="2"/>
    </i>
    <i t="grand">
      <x/>
    </i>
  </rowItems>
  <colFields count="1">
    <field x="-2"/>
  </colFields>
  <colItems count="2">
    <i>
      <x/>
    </i>
    <i i="1">
      <x v="1"/>
    </i>
  </colItems>
  <dataFields count="2">
    <dataField name="Average of CI (kg Co2e/mmbtu fuel)" fld="3" subtotal="average" baseField="2" baseItem="0"/>
    <dataField name="Average of CI (kg CO2e/mmbtu elec)" fld="4" subtotal="average" baseField="2"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Average of CI (kg Co2e/mmbtu fuel)"/>
    <pivotHierarchy dragToData="1" caption="Average of CI (kg CO2e/mmbtu elec)"/>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3"/>
    <rowHierarchyUsage hierarchyUsage="22"/>
    <rowHierarchyUsage hierarchyUsage="2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Tidy_LNG-Oil CI Fuel Input!$A:$F">
        <x15:activeTabTopLevelEntity name="[Range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B912EBE-43DE-41C4-813A-76046EBB6909}" name="PivotTable3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21" firstHeaderRow="1" firstDataRow="3" firstDataCol="1"/>
  <pivotFields count="5">
    <pivotField axis="axisRow" allDrilled="1" subtotalTop="0" showAll="0" defaultSubtotal="0" defaultAttributeDrillState="1">
      <items count="2">
        <item x="0"/>
        <item x="1"/>
      </items>
    </pivotField>
    <pivotField axis="axisCol" allDrilled="1" subtotalTop="0" showAll="0" dataSourceSort="1" defaultSubtotal="0" defaultAttributeDrillState="1">
      <items count="2">
        <item x="0"/>
        <item x="1"/>
      </items>
    </pivotField>
    <pivotField dataField="1" subtotalTop="0" showAll="0" defaultSubtotal="0"/>
    <pivotField axis="axisRow" allDrilled="1" subtotalTop="0" showAll="0" sortType="descending" defaultAttributeDrillState="1">
      <items count="12">
        <item s="1" x="10"/>
        <item s="1" x="4"/>
        <item s="1" x="3"/>
        <item s="1" x="2"/>
        <item s="1" x="1"/>
        <item s="1" x="9"/>
        <item s="1" x="8"/>
        <item s="1" x="7"/>
        <item s="1" x="6"/>
        <item s="1" x="5"/>
        <item s="1" x="0"/>
        <item t="default"/>
      </items>
    </pivotField>
    <pivotField dataField="1" subtotalTop="0" showAll="0" defaultSubtotal="0"/>
  </pivotFields>
  <rowFields count="2">
    <field x="0"/>
    <field x="3"/>
  </rowFields>
  <rowItems count="16">
    <i>
      <x/>
    </i>
    <i r="1">
      <x v="1"/>
    </i>
    <i r="1">
      <x v="2"/>
    </i>
    <i r="1">
      <x v="3"/>
    </i>
    <i r="1">
      <x v="4"/>
    </i>
    <i r="1">
      <x v="10"/>
    </i>
    <i>
      <x v="1"/>
    </i>
    <i r="1">
      <x/>
    </i>
    <i r="1">
      <x v="3"/>
    </i>
    <i r="1">
      <x v="5"/>
    </i>
    <i r="1">
      <x v="6"/>
    </i>
    <i r="1">
      <x v="7"/>
    </i>
    <i r="1">
      <x v="8"/>
    </i>
    <i r="1">
      <x v="9"/>
    </i>
    <i r="1">
      <x v="10"/>
    </i>
    <i t="grand">
      <x/>
    </i>
  </rowItems>
  <colFields count="2">
    <field x="-2"/>
    <field x="1"/>
  </colFields>
  <colItems count="6">
    <i>
      <x/>
      <x/>
    </i>
    <i r="1">
      <x v="1"/>
    </i>
    <i i="1">
      <x v="1"/>
      <x/>
    </i>
    <i r="1" i="1">
      <x v="1"/>
    </i>
    <i t="grand">
      <x/>
    </i>
    <i t="grand" i="1">
      <x v="1"/>
    </i>
  </colItems>
  <dataFields count="2">
    <dataField name="Average of CI (kg Co2e/mmbtu fuel)" fld="2" subtotal="average" baseField="0" baseItem="0"/>
    <dataField name="Average of CI (kg CO2e/mmbtu elec)" fld="4" subtotal="average" baseField="3" baseItem="2"/>
  </dataFields>
  <formats count="4">
    <format dxfId="3">
      <pivotArea collapsedLevelsAreSubtotals="1" fieldPosition="0">
        <references count="2">
          <reference field="0" count="1" selected="0">
            <x v="0"/>
          </reference>
          <reference field="3" count="5">
            <x v="1"/>
            <x v="2"/>
            <x v="3"/>
            <x v="4"/>
            <x v="10"/>
          </reference>
        </references>
      </pivotArea>
    </format>
    <format dxfId="2">
      <pivotArea collapsedLevelsAreSubtotals="1" fieldPosition="0">
        <references count="1">
          <reference field="0" count="1">
            <x v="1"/>
          </reference>
        </references>
      </pivotArea>
    </format>
    <format dxfId="1">
      <pivotArea collapsedLevelsAreSubtotals="1" fieldPosition="0">
        <references count="2">
          <reference field="0" count="1" selected="0">
            <x v="1"/>
          </reference>
          <reference field="3" count="8">
            <x v="0"/>
            <x v="3"/>
            <x v="5"/>
            <x v="6"/>
            <x v="7"/>
            <x v="8"/>
            <x v="9"/>
            <x v="10"/>
          </reference>
        </references>
      </pivotArea>
    </format>
    <format dxfId="0">
      <pivotArea grandRow="1" outline="0" collapsedLevelsAreSubtotals="1" fieldPosition="0"/>
    </format>
  </formats>
  <pivotHierarchies count="59">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verage of CI (g CO2e /kWh)"/>
    <pivotHierarchy dragToData="1"/>
    <pivotHierarchy dragToData="1" caption="Average of CI (kg Co2e/mmbtu fuel)"/>
    <pivotHierarchy dragToData="1"/>
    <pivotHierarchy dragToData="1" caption="Average of CI (kg CO2e/mmbtu elec)"/>
  </pivotHierarchies>
  <pivotTableStyleInfo name="PivotStyleLight16" showRowHeaders="1" showColHeaders="1" showRowStripes="0" showColStripes="0" showLastColumn="1"/>
  <rowHierarchiesUsage count="2">
    <rowHierarchyUsage hierarchyUsage="3"/>
    <rowHierarchyUsage hierarchyUsage="1"/>
  </rowHierarchiesUsage>
  <colHierarchiesUsage count="2">
    <colHierarchyUsage hierarchyUsage="-2"/>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Adjustable_HeatRate_CI!$A:$G">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7536355-621F-4734-890C-9AEF593BDE72}"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7">
  <location ref="A1:L35" firstHeaderRow="1" firstDataRow="2" firstDataCol="1"/>
  <pivotFields count="6">
    <pivotField axis="axisRow" showAll="0">
      <items count="15">
        <item x="0"/>
        <item x="3"/>
        <item x="10"/>
        <item h="1" x="12"/>
        <item h="1" x="11"/>
        <item x="4"/>
        <item x="1"/>
        <item x="2"/>
        <item x="7"/>
        <item x="9"/>
        <item x="8"/>
        <item h="1" x="6"/>
        <item h="1" x="5"/>
        <item h="1" x="13"/>
        <item t="default"/>
      </items>
    </pivotField>
    <pivotField axis="axisCol" showAll="0">
      <items count="13">
        <item x="6"/>
        <item x="5"/>
        <item x="1"/>
        <item x="4"/>
        <item x="3"/>
        <item x="2"/>
        <item x="10"/>
        <item h="1" x="7"/>
        <item x="9"/>
        <item x="8"/>
        <item x="0"/>
        <item h="1" x="11"/>
        <item t="default"/>
      </items>
    </pivotField>
    <pivotField dataField="1" showAll="0"/>
    <pivotField axis="axisRow" showAll="0">
      <items count="4">
        <item x="1"/>
        <item x="0"/>
        <item x="2"/>
        <item t="default"/>
      </items>
    </pivotField>
    <pivotField axis="axisRow" showAll="0">
      <items count="4">
        <item x="0"/>
        <item x="1"/>
        <item x="2"/>
        <item t="default"/>
      </items>
    </pivotField>
    <pivotField showAll="0"/>
  </pivotFields>
  <rowFields count="3">
    <field x="3"/>
    <field x="0"/>
    <field x="4"/>
  </rowFields>
  <rowItems count="33">
    <i>
      <x/>
    </i>
    <i r="1">
      <x/>
    </i>
    <i r="2">
      <x/>
    </i>
    <i r="2">
      <x v="1"/>
    </i>
    <i r="1">
      <x v="2"/>
    </i>
    <i r="2">
      <x/>
    </i>
    <i r="2">
      <x v="1"/>
    </i>
    <i r="1">
      <x v="5"/>
    </i>
    <i r="2">
      <x/>
    </i>
    <i r="2">
      <x v="1"/>
    </i>
    <i r="1">
      <x v="8"/>
    </i>
    <i r="2">
      <x/>
    </i>
    <i r="2">
      <x v="1"/>
    </i>
    <i r="1">
      <x v="9"/>
    </i>
    <i r="2">
      <x/>
    </i>
    <i r="2">
      <x v="1"/>
    </i>
    <i r="1">
      <x v="10"/>
    </i>
    <i r="2">
      <x/>
    </i>
    <i r="2">
      <x v="1"/>
    </i>
    <i>
      <x v="1"/>
    </i>
    <i r="1">
      <x/>
    </i>
    <i r="2">
      <x/>
    </i>
    <i r="2">
      <x v="1"/>
    </i>
    <i r="1">
      <x v="1"/>
    </i>
    <i r="2">
      <x/>
    </i>
    <i r="2">
      <x v="1"/>
    </i>
    <i r="1">
      <x v="6"/>
    </i>
    <i r="2">
      <x/>
    </i>
    <i r="2">
      <x v="1"/>
    </i>
    <i r="1">
      <x v="7"/>
    </i>
    <i r="2">
      <x/>
    </i>
    <i r="2">
      <x v="1"/>
    </i>
    <i t="grand">
      <x/>
    </i>
  </rowItems>
  <colFields count="1">
    <field x="1"/>
  </colFields>
  <colItems count="11">
    <i>
      <x/>
    </i>
    <i>
      <x v="1"/>
    </i>
    <i>
      <x v="2"/>
    </i>
    <i>
      <x v="3"/>
    </i>
    <i>
      <x v="4"/>
    </i>
    <i>
      <x v="5"/>
    </i>
    <i>
      <x v="6"/>
    </i>
    <i>
      <x v="8"/>
    </i>
    <i>
      <x v="9"/>
    </i>
    <i>
      <x v="10"/>
    </i>
    <i t="grand">
      <x/>
    </i>
  </colItems>
  <dataFields count="1">
    <dataField name="Average of CI (kg Co2e/mmbtu fuel)" fld="2" subtotal="average" baseField="0" baseItem="10"/>
  </dataFields>
  <chartFormats count="10">
    <chartFormat chart="0" format="25" series="1">
      <pivotArea type="data" outline="0" fieldPosition="0">
        <references count="2">
          <reference field="4294967294" count="1" selected="0">
            <x v="0"/>
          </reference>
          <reference field="1" count="1" selected="0">
            <x v="5"/>
          </reference>
        </references>
      </pivotArea>
    </chartFormat>
    <chartFormat chart="0" format="26" series="1">
      <pivotArea type="data" outline="0" fieldPosition="0">
        <references count="2">
          <reference field="4294967294" count="1" selected="0">
            <x v="0"/>
          </reference>
          <reference field="1" count="1" selected="0">
            <x v="6"/>
          </reference>
        </references>
      </pivotArea>
    </chartFormat>
    <chartFormat chart="0" format="27" series="1">
      <pivotArea type="data" outline="0" fieldPosition="0">
        <references count="2">
          <reference field="4294967294" count="1" selected="0">
            <x v="0"/>
          </reference>
          <reference field="1" count="1" selected="0">
            <x v="8"/>
          </reference>
        </references>
      </pivotArea>
    </chartFormat>
    <chartFormat chart="0" format="28" series="1">
      <pivotArea type="data" outline="0" fieldPosition="0">
        <references count="2">
          <reference field="4294967294" count="1" selected="0">
            <x v="0"/>
          </reference>
          <reference field="1" count="1" selected="0">
            <x v="9"/>
          </reference>
        </references>
      </pivotArea>
    </chartFormat>
    <chartFormat chart="0" format="29" series="1">
      <pivotArea type="data" outline="0" fieldPosition="0">
        <references count="2">
          <reference field="4294967294" count="1" selected="0">
            <x v="0"/>
          </reference>
          <reference field="1" count="1" selected="0">
            <x v="10"/>
          </reference>
        </references>
      </pivotArea>
    </chartFormat>
    <chartFormat chart="0" format="30" series="1">
      <pivotArea type="data" outline="0" fieldPosition="0">
        <references count="2">
          <reference field="4294967294" count="1" selected="0">
            <x v="0"/>
          </reference>
          <reference field="1" count="1" selected="0">
            <x v="0"/>
          </reference>
        </references>
      </pivotArea>
    </chartFormat>
    <chartFormat chart="0" format="31" series="1">
      <pivotArea type="data" outline="0" fieldPosition="0">
        <references count="2">
          <reference field="4294967294" count="1" selected="0">
            <x v="0"/>
          </reference>
          <reference field="1" count="1" selected="0">
            <x v="1"/>
          </reference>
        </references>
      </pivotArea>
    </chartFormat>
    <chartFormat chart="0" format="32" series="1">
      <pivotArea type="data" outline="0" fieldPosition="0">
        <references count="2">
          <reference field="4294967294" count="1" selected="0">
            <x v="0"/>
          </reference>
          <reference field="1" count="1" selected="0">
            <x v="2"/>
          </reference>
        </references>
      </pivotArea>
    </chartFormat>
    <chartFormat chart="0" format="33" series="1">
      <pivotArea type="data" outline="0" fieldPosition="0">
        <references count="2">
          <reference field="4294967294" count="1" selected="0">
            <x v="0"/>
          </reference>
          <reference field="1" count="1" selected="0">
            <x v="3"/>
          </reference>
        </references>
      </pivotArea>
    </chartFormat>
    <chartFormat chart="0" format="34"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s://www.noia.org/noia-report-ghg-emission-intensity-of-crude-oil-and-condensate-production/"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https://energy.hawaii.gov/what-we-do/energy-landscape/non-renewable-energy-sourc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n.wikipedia.org/wiki/Maghreb%E2%80%93Europe_Gas_Pipeline" TargetMode="External"/><Relationship Id="rId2" Type="http://schemas.openxmlformats.org/officeDocument/2006/relationships/hyperlink" Target="https://www.gem.wiki/Nuevo_Teapa-Venta_de_Carpio_Oil_Pipeline" TargetMode="External"/><Relationship Id="rId1" Type="http://schemas.openxmlformats.org/officeDocument/2006/relationships/hyperlink" Target="https://globalenergymonitor.org/projects/global-fossil-infrastructure-tracker/tracker-map/"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74F0-B25C-4810-8C91-73B2095685E2}">
  <sheetPr>
    <tabColor theme="9"/>
  </sheetPr>
  <dimension ref="A1:D20"/>
  <sheetViews>
    <sheetView topLeftCell="A4" workbookViewId="0">
      <selection activeCell="D18" sqref="D18"/>
    </sheetView>
  </sheetViews>
  <sheetFormatPr defaultColWidth="9.15625" defaultRowHeight="14.4" x14ac:dyDescent="0.55000000000000004"/>
  <cols>
    <col min="1" max="3" width="9.15625" style="256"/>
    <col min="4" max="4" width="119.3125" style="256" customWidth="1"/>
    <col min="5" max="16384" width="9.15625" style="256"/>
  </cols>
  <sheetData>
    <row r="1" spans="1:4" ht="15.6" x14ac:dyDescent="0.6">
      <c r="A1" s="258" t="s">
        <v>0</v>
      </c>
    </row>
    <row r="2" spans="1:4" x14ac:dyDescent="0.55000000000000004">
      <c r="A2" s="531" t="s">
        <v>1</v>
      </c>
      <c r="B2" s="532"/>
      <c r="C2" s="533"/>
      <c r="D2" s="525" t="s">
        <v>2</v>
      </c>
    </row>
    <row r="3" spans="1:4" x14ac:dyDescent="0.55000000000000004">
      <c r="A3" s="540" t="s">
        <v>3</v>
      </c>
      <c r="B3" s="541"/>
      <c r="C3" s="542"/>
      <c r="D3" s="524" t="s">
        <v>4</v>
      </c>
    </row>
    <row r="4" spans="1:4" x14ac:dyDescent="0.55000000000000004">
      <c r="A4" s="540" t="s">
        <v>5</v>
      </c>
      <c r="B4" s="541"/>
      <c r="C4" s="542"/>
      <c r="D4" s="524" t="s">
        <v>6</v>
      </c>
    </row>
    <row r="5" spans="1:4" x14ac:dyDescent="0.55000000000000004">
      <c r="A5" s="540" t="s">
        <v>526</v>
      </c>
      <c r="B5" s="541"/>
      <c r="C5" s="542"/>
      <c r="D5" s="524" t="s">
        <v>519</v>
      </c>
    </row>
    <row r="6" spans="1:4" x14ac:dyDescent="0.55000000000000004">
      <c r="A6" s="534" t="s">
        <v>520</v>
      </c>
      <c r="B6" s="535"/>
      <c r="C6" s="536"/>
      <c r="D6" s="525" t="s">
        <v>521</v>
      </c>
    </row>
    <row r="7" spans="1:4" x14ac:dyDescent="0.55000000000000004">
      <c r="A7" s="546" t="s">
        <v>16</v>
      </c>
      <c r="B7" s="546"/>
      <c r="C7" s="546"/>
      <c r="D7" s="524" t="s">
        <v>17</v>
      </c>
    </row>
    <row r="8" spans="1:4" x14ac:dyDescent="0.55000000000000004">
      <c r="A8" s="546" t="s">
        <v>18</v>
      </c>
      <c r="B8" s="546"/>
      <c r="C8" s="546"/>
      <c r="D8" s="524" t="s">
        <v>522</v>
      </c>
    </row>
    <row r="9" spans="1:4" x14ac:dyDescent="0.55000000000000004">
      <c r="A9" s="546" t="s">
        <v>19</v>
      </c>
      <c r="B9" s="546"/>
      <c r="C9" s="546"/>
      <c r="D9" s="524" t="s">
        <v>523</v>
      </c>
    </row>
    <row r="10" spans="1:4" x14ac:dyDescent="0.55000000000000004">
      <c r="A10" s="526" t="s">
        <v>514</v>
      </c>
      <c r="B10" s="527"/>
      <c r="C10" s="528"/>
      <c r="D10" s="525" t="s">
        <v>2</v>
      </c>
    </row>
    <row r="11" spans="1:4" ht="27.6" customHeight="1" x14ac:dyDescent="0.55000000000000004">
      <c r="A11" s="544" t="s">
        <v>513</v>
      </c>
      <c r="B11" s="544"/>
      <c r="C11" s="544"/>
      <c r="D11" s="530" t="s">
        <v>527</v>
      </c>
    </row>
    <row r="12" spans="1:4" x14ac:dyDescent="0.55000000000000004">
      <c r="A12" s="545" t="s">
        <v>528</v>
      </c>
      <c r="B12" s="545"/>
      <c r="C12" s="545"/>
      <c r="D12" s="524" t="s">
        <v>529</v>
      </c>
    </row>
    <row r="13" spans="1:4" x14ac:dyDescent="0.55000000000000004">
      <c r="A13" s="537" t="s">
        <v>530</v>
      </c>
      <c r="B13" s="538"/>
      <c r="C13" s="539"/>
      <c r="D13" s="524" t="s">
        <v>531</v>
      </c>
    </row>
    <row r="14" spans="1:4" x14ac:dyDescent="0.55000000000000004">
      <c r="A14" s="523" t="s">
        <v>7</v>
      </c>
      <c r="B14" s="529"/>
      <c r="C14" s="529"/>
      <c r="D14" s="525" t="s">
        <v>2</v>
      </c>
    </row>
    <row r="15" spans="1:4" x14ac:dyDescent="0.55000000000000004">
      <c r="A15" s="543" t="s">
        <v>8</v>
      </c>
      <c r="B15" s="543"/>
      <c r="C15" s="543"/>
      <c r="D15" s="524" t="s">
        <v>9</v>
      </c>
    </row>
    <row r="16" spans="1:4" x14ac:dyDescent="0.55000000000000004">
      <c r="A16" s="543" t="s">
        <v>10</v>
      </c>
      <c r="B16" s="543"/>
      <c r="C16" s="543"/>
      <c r="D16" s="524" t="s">
        <v>11</v>
      </c>
    </row>
    <row r="17" spans="1:4" x14ac:dyDescent="0.55000000000000004">
      <c r="A17" s="543" t="s">
        <v>12</v>
      </c>
      <c r="B17" s="543"/>
      <c r="C17" s="543"/>
      <c r="D17" s="524" t="s">
        <v>13</v>
      </c>
    </row>
    <row r="18" spans="1:4" x14ac:dyDescent="0.55000000000000004">
      <c r="A18" s="543" t="s">
        <v>14</v>
      </c>
      <c r="B18" s="543"/>
      <c r="C18" s="543"/>
      <c r="D18" s="524" t="s">
        <v>15</v>
      </c>
    </row>
    <row r="20" spans="1:4" ht="15.6" x14ac:dyDescent="0.6">
      <c r="A20" s="258" t="s">
        <v>20</v>
      </c>
    </row>
  </sheetData>
  <mergeCells count="15">
    <mergeCell ref="A15:C15"/>
    <mergeCell ref="A16:C16"/>
    <mergeCell ref="A11:C11"/>
    <mergeCell ref="A12:C12"/>
    <mergeCell ref="A18:C18"/>
    <mergeCell ref="A17:C17"/>
    <mergeCell ref="A2:C2"/>
    <mergeCell ref="A6:C6"/>
    <mergeCell ref="A13:C13"/>
    <mergeCell ref="A3:C3"/>
    <mergeCell ref="A4:C4"/>
    <mergeCell ref="A5:C5"/>
    <mergeCell ref="A7:C7"/>
    <mergeCell ref="A8:C8"/>
    <mergeCell ref="A9:C9"/>
  </mergeCells>
  <hyperlinks>
    <hyperlink ref="A7:C7" location="Fuel_Specs!A1" display="Fuel_Specs" xr:uid="{007781D0-DE81-4727-89E8-2025C37E2FA7}"/>
    <hyperlink ref="A8:C8" location="'GREET 2023_20-yr'!A1" display="GREET 2023_20-yr" xr:uid="{1057A020-EF46-43E4-9709-9E80A1947758}"/>
    <hyperlink ref="A9:C9" location="'Oil_LNG_Breakdown_100-yr'!A1" display="GREET 2023_100-yr" xr:uid="{85470896-4F68-4E3E-8B89-F49B1991EB03}"/>
    <hyperlink ref="A11:C11" location="Adjustable_HeatRate_CI!A1" display="Adjustable_HeatRate_CI" xr:uid="{93834A13-9E0F-4787-A2E5-F506F5DE1484}"/>
    <hyperlink ref="A13:C13" location="'Scenarios Pivot - fuel input'!A1" display="'Scenarios Pivot - fuel input'!A1" xr:uid="{D8C3753D-7C5A-4243-BA8C-527DC720A6BD}"/>
    <hyperlink ref="A15:C15" location="'RMI_OCI+_100-yr'!A1" display="RMI_OCI+_100-yr" xr:uid="{0163ECB9-919B-4F6E-974F-9BA1A1083717}"/>
    <hyperlink ref="A16:C16" location="'GREET 2023_20-yr'!A1" display="RMI_OCI+_20-yr" xr:uid="{CD5A4AEF-47AF-47F7-818F-78CC23FB70C9}"/>
    <hyperlink ref="A17:C17" location="NOIA_EPA!A1" display="NOIA" xr:uid="{5D08EE50-81BD-461B-A39B-4A4E93C9E01D}"/>
    <hyperlink ref="A18:C18" location="'HSEO_Crude Import'!A1" display="HSEO_Crude Import" xr:uid="{6B02AFB0-54C0-4F94-80FD-5720958A0224}"/>
  </hyperlink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E0A31-BC2B-48A3-800F-B5F1668040CD}">
  <sheetPr>
    <tabColor theme="4" tint="0.59999389629810485"/>
  </sheetPr>
  <dimension ref="A1:L35"/>
  <sheetViews>
    <sheetView zoomScale="53" workbookViewId="0">
      <selection activeCell="G19" sqref="G19"/>
    </sheetView>
  </sheetViews>
  <sheetFormatPr defaultRowHeight="14.4" x14ac:dyDescent="0.55000000000000004"/>
  <cols>
    <col min="1" max="1" width="42.83984375" bestFit="1" customWidth="1"/>
    <col min="2" max="2" width="15.3671875" bestFit="1" customWidth="1"/>
    <col min="3" max="3" width="26.41796875" bestFit="1" customWidth="1"/>
    <col min="4" max="4" width="11.68359375" bestFit="1" customWidth="1"/>
    <col min="5" max="5" width="15.89453125" bestFit="1" customWidth="1"/>
    <col min="6" max="7" width="11.68359375" bestFit="1" customWidth="1"/>
    <col min="8" max="8" width="18.3671875" bestFit="1" customWidth="1"/>
    <col min="9" max="9" width="14.62890625" bestFit="1" customWidth="1"/>
    <col min="10" max="10" width="24.15625" bestFit="1" customWidth="1"/>
    <col min="11" max="11" width="31.89453125" bestFit="1" customWidth="1"/>
    <col min="12" max="12" width="11.68359375" bestFit="1" customWidth="1"/>
    <col min="13" max="13" width="26.5234375" bestFit="1" customWidth="1"/>
    <col min="14" max="14" width="29.9453125" bestFit="1" customWidth="1"/>
    <col min="15" max="15" width="26.5234375" bestFit="1" customWidth="1"/>
    <col min="16" max="16" width="29.9453125" bestFit="1" customWidth="1"/>
    <col min="17" max="17" width="26.5234375" bestFit="1" customWidth="1"/>
    <col min="18" max="18" width="29.9453125" bestFit="1" customWidth="1"/>
    <col min="19" max="19" width="26.5234375" bestFit="1" customWidth="1"/>
    <col min="20" max="20" width="31.89453125" bestFit="1" customWidth="1"/>
    <col min="21" max="21" width="26.5234375" bestFit="1" customWidth="1"/>
    <col min="22" max="22" width="34.3671875" bestFit="1" customWidth="1"/>
    <col min="23" max="23" width="30.9453125" bestFit="1" customWidth="1"/>
    <col min="24" max="24" width="27.15625" bestFit="1" customWidth="1"/>
    <col min="25" max="25" width="10.578125" bestFit="1" customWidth="1"/>
    <col min="26" max="26" width="31.578125" bestFit="1" customWidth="1"/>
    <col min="27" max="27" width="15" bestFit="1" customWidth="1"/>
  </cols>
  <sheetData>
    <row r="1" spans="1:12" x14ac:dyDescent="0.55000000000000004">
      <c r="A1" s="259" t="s">
        <v>487</v>
      </c>
      <c r="B1" s="259" t="s">
        <v>92</v>
      </c>
    </row>
    <row r="2" spans="1:12" x14ac:dyDescent="0.55000000000000004">
      <c r="A2" s="259" t="s">
        <v>93</v>
      </c>
      <c r="B2" t="s">
        <v>31</v>
      </c>
      <c r="C2" t="s">
        <v>65</v>
      </c>
      <c r="D2" t="s">
        <v>61</v>
      </c>
      <c r="E2" t="s">
        <v>64</v>
      </c>
      <c r="F2" t="s">
        <v>63</v>
      </c>
      <c r="G2" t="s">
        <v>62</v>
      </c>
      <c r="H2" t="s">
        <v>30</v>
      </c>
      <c r="I2" t="s">
        <v>29</v>
      </c>
      <c r="J2" t="s">
        <v>28</v>
      </c>
      <c r="K2" t="s">
        <v>90</v>
      </c>
      <c r="L2" t="s">
        <v>94</v>
      </c>
    </row>
    <row r="3" spans="1:12" x14ac:dyDescent="0.55000000000000004">
      <c r="A3" s="260" t="s">
        <v>43</v>
      </c>
      <c r="B3">
        <v>84.001574699709224</v>
      </c>
      <c r="H3">
        <v>5.6956554922839659</v>
      </c>
      <c r="I3">
        <v>2.0534047530742821</v>
      </c>
      <c r="J3">
        <v>16.338673787866515</v>
      </c>
      <c r="L3">
        <v>27.022327183233497</v>
      </c>
    </row>
    <row r="4" spans="1:12" x14ac:dyDescent="0.55000000000000004">
      <c r="A4" s="261" t="s">
        <v>34</v>
      </c>
      <c r="B4">
        <v>85.540186898126819</v>
      </c>
      <c r="H4">
        <v>5.3871068759241352</v>
      </c>
      <c r="I4">
        <v>1.9654402778744609</v>
      </c>
      <c r="J4">
        <v>9.5166931081044464</v>
      </c>
      <c r="L4">
        <v>25.602356790007466</v>
      </c>
    </row>
    <row r="5" spans="1:12" x14ac:dyDescent="0.55000000000000004">
      <c r="A5" s="284">
        <v>20</v>
      </c>
      <c r="B5">
        <v>85.624142342303202</v>
      </c>
      <c r="H5">
        <v>5.6326918303044309</v>
      </c>
      <c r="I5">
        <v>2.0194475155941065</v>
      </c>
      <c r="J5">
        <v>11.873355275718035</v>
      </c>
      <c r="L5">
        <v>26.287409240979944</v>
      </c>
    </row>
    <row r="6" spans="1:12" x14ac:dyDescent="0.55000000000000004">
      <c r="A6" s="284">
        <v>100</v>
      </c>
      <c r="B6">
        <v>85.456231453950437</v>
      </c>
      <c r="H6">
        <v>5.1415219215438395</v>
      </c>
      <c r="I6">
        <v>1.9114330401548154</v>
      </c>
      <c r="J6">
        <v>7.1600309404908575</v>
      </c>
      <c r="L6">
        <v>24.917304339034988</v>
      </c>
    </row>
    <row r="7" spans="1:12" x14ac:dyDescent="0.55000000000000004">
      <c r="A7" s="261" t="s">
        <v>38</v>
      </c>
      <c r="B7">
        <v>85.540186898126819</v>
      </c>
      <c r="H7">
        <v>5.3871068759241352</v>
      </c>
      <c r="I7">
        <v>2.0686120530305745</v>
      </c>
      <c r="J7">
        <v>5.6583540865099433</v>
      </c>
      <c r="L7">
        <v>24.663564978397872</v>
      </c>
    </row>
    <row r="8" spans="1:12" x14ac:dyDescent="0.55000000000000004">
      <c r="A8" s="284">
        <v>20</v>
      </c>
      <c r="B8">
        <v>85.624142342303216</v>
      </c>
      <c r="H8">
        <v>5.6326918303044309</v>
      </c>
      <c r="I8">
        <v>2.1251326661399319</v>
      </c>
      <c r="J8">
        <v>5.6583540865099433</v>
      </c>
      <c r="L8">
        <v>24.760080231314383</v>
      </c>
    </row>
    <row r="9" spans="1:12" x14ac:dyDescent="0.55000000000000004">
      <c r="A9" s="284">
        <v>100</v>
      </c>
      <c r="B9">
        <v>85.456231453950437</v>
      </c>
      <c r="H9">
        <v>5.1415219215438395</v>
      </c>
      <c r="I9">
        <v>2.0120914399212166</v>
      </c>
      <c r="J9">
        <v>5.6583540865099433</v>
      </c>
      <c r="L9">
        <v>24.567049725481361</v>
      </c>
    </row>
    <row r="10" spans="1:12" x14ac:dyDescent="0.55000000000000004">
      <c r="A10" s="261" t="s">
        <v>45</v>
      </c>
      <c r="B10">
        <v>76.308513707621287</v>
      </c>
      <c r="H10">
        <v>7.2383985740831189</v>
      </c>
      <c r="I10">
        <v>2.1899213057652078</v>
      </c>
      <c r="J10">
        <v>20.975116436492691</v>
      </c>
      <c r="L10">
        <v>26.677987505990579</v>
      </c>
    </row>
    <row r="11" spans="1:12" x14ac:dyDescent="0.55000000000000004">
      <c r="A11" s="284">
        <v>20</v>
      </c>
      <c r="B11">
        <v>76.323631574386681</v>
      </c>
      <c r="H11">
        <v>7.2941391246223324</v>
      </c>
      <c r="I11">
        <v>2.2118503841835055</v>
      </c>
      <c r="J11">
        <v>26.758230292300969</v>
      </c>
      <c r="L11">
        <v>28.146962843873371</v>
      </c>
    </row>
    <row r="12" spans="1:12" x14ac:dyDescent="0.55000000000000004">
      <c r="A12" s="284">
        <v>100</v>
      </c>
      <c r="B12">
        <v>76.293395840855894</v>
      </c>
      <c r="H12">
        <v>7.1826580235439055</v>
      </c>
      <c r="I12">
        <v>2.1679922273469101</v>
      </c>
      <c r="J12">
        <v>15.192002580684411</v>
      </c>
      <c r="L12">
        <v>25.209012168107783</v>
      </c>
    </row>
    <row r="13" spans="1:12" x14ac:dyDescent="0.55000000000000004">
      <c r="A13" s="261" t="s">
        <v>48</v>
      </c>
      <c r="B13">
        <v>85.540186898126819</v>
      </c>
      <c r="H13">
        <v>5.3871068759241352</v>
      </c>
      <c r="I13">
        <v>2.0686120530305745</v>
      </c>
      <c r="J13">
        <v>20.975116436492691</v>
      </c>
      <c r="L13">
        <v>28.49275556589356</v>
      </c>
    </row>
    <row r="14" spans="1:12" x14ac:dyDescent="0.55000000000000004">
      <c r="A14" s="284">
        <v>20</v>
      </c>
      <c r="B14">
        <v>85.624142342303216</v>
      </c>
      <c r="H14">
        <v>5.6326918303044309</v>
      </c>
      <c r="I14">
        <v>2.1251326661399319</v>
      </c>
      <c r="J14">
        <v>26.758230292300969</v>
      </c>
      <c r="L14">
        <v>30.035049282762138</v>
      </c>
    </row>
    <row r="15" spans="1:12" x14ac:dyDescent="0.55000000000000004">
      <c r="A15" s="284">
        <v>100</v>
      </c>
      <c r="B15">
        <v>85.456231453950437</v>
      </c>
      <c r="H15">
        <v>5.1415219215438395</v>
      </c>
      <c r="I15">
        <v>2.0120914399212166</v>
      </c>
      <c r="J15">
        <v>15.192002580684411</v>
      </c>
      <c r="L15">
        <v>26.950461849024979</v>
      </c>
    </row>
    <row r="16" spans="1:12" x14ac:dyDescent="0.55000000000000004">
      <c r="A16" s="261" t="s">
        <v>51</v>
      </c>
      <c r="B16">
        <v>85.540186898126819</v>
      </c>
      <c r="H16">
        <v>5.3871068759241352</v>
      </c>
      <c r="I16">
        <v>1.6717958017579708</v>
      </c>
      <c r="J16">
        <v>17.189587975408653</v>
      </c>
      <c r="L16">
        <v>27.447169387804394</v>
      </c>
    </row>
    <row r="17" spans="1:12" x14ac:dyDescent="0.55000000000000004">
      <c r="A17" s="284">
        <v>20</v>
      </c>
      <c r="B17">
        <v>85.624142342303202</v>
      </c>
      <c r="H17">
        <v>5.6326918303044309</v>
      </c>
      <c r="I17">
        <v>1.7174742186320189</v>
      </c>
      <c r="J17">
        <v>21.179169021632752</v>
      </c>
      <c r="L17">
        <v>28.538369353218101</v>
      </c>
    </row>
    <row r="18" spans="1:12" x14ac:dyDescent="0.55000000000000004">
      <c r="A18" s="284">
        <v>100</v>
      </c>
      <c r="B18">
        <v>85.456231453950437</v>
      </c>
      <c r="H18">
        <v>5.1415219215438395</v>
      </c>
      <c r="I18">
        <v>1.6261173848839228</v>
      </c>
      <c r="J18">
        <v>13.200006929184553</v>
      </c>
      <c r="L18">
        <v>26.35596942239069</v>
      </c>
    </row>
    <row r="19" spans="1:12" x14ac:dyDescent="0.55000000000000004">
      <c r="A19" s="261" t="s">
        <v>50</v>
      </c>
      <c r="B19">
        <v>85.540186898126819</v>
      </c>
      <c r="H19">
        <v>5.3871068759241352</v>
      </c>
      <c r="I19">
        <v>2.356047026986904</v>
      </c>
      <c r="J19">
        <v>23.717174684190667</v>
      </c>
      <c r="L19">
        <v>29.250128871307133</v>
      </c>
    </row>
    <row r="20" spans="1:12" x14ac:dyDescent="0.55000000000000004">
      <c r="A20" s="284">
        <v>20</v>
      </c>
      <c r="B20">
        <v>85.624142342303202</v>
      </c>
      <c r="H20">
        <v>5.6326918303044309</v>
      </c>
      <c r="I20">
        <v>2.4204212156051557</v>
      </c>
      <c r="J20">
        <v>30.799439103412986</v>
      </c>
      <c r="L20">
        <v>31.119173622906445</v>
      </c>
    </row>
    <row r="21" spans="1:12" x14ac:dyDescent="0.55000000000000004">
      <c r="A21" s="284">
        <v>100</v>
      </c>
      <c r="B21">
        <v>85.456231453950437</v>
      </c>
      <c r="H21">
        <v>5.1415219215438395</v>
      </c>
      <c r="I21">
        <v>2.2916728383686524</v>
      </c>
      <c r="J21">
        <v>16.634910264968344</v>
      </c>
      <c r="L21">
        <v>27.381084119707818</v>
      </c>
    </row>
    <row r="22" spans="1:12" x14ac:dyDescent="0.55000000000000004">
      <c r="A22" s="260" t="s">
        <v>464</v>
      </c>
      <c r="B22">
        <v>59.519330171572406</v>
      </c>
      <c r="C22">
        <v>0.52224287164685401</v>
      </c>
      <c r="D22">
        <v>8.5940750630879705</v>
      </c>
      <c r="E22">
        <v>1.8214165037052858</v>
      </c>
      <c r="F22">
        <v>1.2257544793596564</v>
      </c>
      <c r="G22">
        <v>3.3501206889367166</v>
      </c>
      <c r="K22">
        <v>13.444161452430972</v>
      </c>
      <c r="L22">
        <v>12.639585890105694</v>
      </c>
    </row>
    <row r="23" spans="1:12" x14ac:dyDescent="0.55000000000000004">
      <c r="A23" s="261" t="s">
        <v>34</v>
      </c>
      <c r="B23">
        <v>59.519330171572413</v>
      </c>
      <c r="C23">
        <v>0.53164415492904316</v>
      </c>
      <c r="D23">
        <v>8.4482303170939357</v>
      </c>
      <c r="E23">
        <v>1.8205516499688592</v>
      </c>
      <c r="F23">
        <v>1.2257680878010642</v>
      </c>
      <c r="G23">
        <v>3.7456046971540196</v>
      </c>
      <c r="K23">
        <v>13.124963928541611</v>
      </c>
      <c r="L23">
        <v>12.630870429580133</v>
      </c>
    </row>
    <row r="24" spans="1:12" x14ac:dyDescent="0.55000000000000004">
      <c r="A24" s="284">
        <v>20</v>
      </c>
      <c r="B24">
        <v>59.555374269223613</v>
      </c>
      <c r="C24">
        <v>0.69672944801525905</v>
      </c>
      <c r="D24">
        <v>9.375256687212163</v>
      </c>
      <c r="E24">
        <v>2.4094314112167869</v>
      </c>
      <c r="F24">
        <v>1.8009949642669243</v>
      </c>
      <c r="G24">
        <v>5.0295750403146258</v>
      </c>
      <c r="K24">
        <v>16.705982568936786</v>
      </c>
      <c r="L24">
        <v>13.653334912740879</v>
      </c>
    </row>
    <row r="25" spans="1:12" x14ac:dyDescent="0.55000000000000004">
      <c r="A25" s="284">
        <v>100</v>
      </c>
      <c r="B25">
        <v>59.483286073921214</v>
      </c>
      <c r="C25">
        <v>0.36655886184282716</v>
      </c>
      <c r="D25">
        <v>7.5212039469757084</v>
      </c>
      <c r="E25">
        <v>1.2316718887209317</v>
      </c>
      <c r="F25">
        <v>0.65054121133520426</v>
      </c>
      <c r="G25">
        <v>2.4616343539934133</v>
      </c>
      <c r="K25">
        <v>9.5439452881464373</v>
      </c>
      <c r="L25">
        <v>11.60840594641939</v>
      </c>
    </row>
    <row r="26" spans="1:12" x14ac:dyDescent="0.55000000000000004">
      <c r="A26" s="261" t="s">
        <v>75</v>
      </c>
      <c r="B26">
        <v>59.519330171572413</v>
      </c>
      <c r="C26">
        <v>0.49403902180028669</v>
      </c>
      <c r="D26">
        <v>9.0316093010700751</v>
      </c>
      <c r="E26">
        <v>1.8240110649145653</v>
      </c>
      <c r="F26">
        <v>1.2257136540354328</v>
      </c>
      <c r="G26">
        <v>3.7928831775038931</v>
      </c>
      <c r="K26">
        <v>19.53034009551552</v>
      </c>
      <c r="L26">
        <v>13.631132355201739</v>
      </c>
    </row>
    <row r="27" spans="1:12" x14ac:dyDescent="0.55000000000000004">
      <c r="A27" s="284">
        <v>20</v>
      </c>
      <c r="B27">
        <v>59.555374269223613</v>
      </c>
      <c r="C27">
        <v>0.64147839936206574</v>
      </c>
      <c r="D27">
        <v>10.232548220469367</v>
      </c>
      <c r="E27">
        <v>2.4145264437882608</v>
      </c>
      <c r="F27">
        <v>1.8009149858935565</v>
      </c>
      <c r="G27">
        <v>5.0990623029371562</v>
      </c>
      <c r="K27">
        <v>26.117492105251266</v>
      </c>
      <c r="L27">
        <v>15.123056675275039</v>
      </c>
    </row>
    <row r="28" spans="1:12" x14ac:dyDescent="0.55000000000000004">
      <c r="A28" s="284">
        <v>100</v>
      </c>
      <c r="B28">
        <v>59.483286073921214</v>
      </c>
      <c r="C28">
        <v>0.3465996442385077</v>
      </c>
      <c r="D28">
        <v>7.8306703816707826</v>
      </c>
      <c r="E28">
        <v>1.2334956860408701</v>
      </c>
      <c r="F28">
        <v>0.65051232217730892</v>
      </c>
      <c r="G28">
        <v>2.4867040520706301</v>
      </c>
      <c r="K28">
        <v>12.943188085779772</v>
      </c>
      <c r="L28">
        <v>12.139208035128439</v>
      </c>
    </row>
    <row r="29" spans="1:12" x14ac:dyDescent="0.55000000000000004">
      <c r="A29" s="261" t="s">
        <v>72</v>
      </c>
      <c r="B29">
        <v>59.519330171572413</v>
      </c>
      <c r="C29">
        <v>0.53164415492904316</v>
      </c>
      <c r="D29">
        <v>8.4482303170939357</v>
      </c>
      <c r="E29">
        <v>1.8205516499688592</v>
      </c>
      <c r="F29">
        <v>1.2257680878010642</v>
      </c>
      <c r="G29">
        <v>3.7456046971540196</v>
      </c>
      <c r="K29">
        <v>11.891727617240281</v>
      </c>
      <c r="L29">
        <v>12.454693813679947</v>
      </c>
    </row>
    <row r="30" spans="1:12" x14ac:dyDescent="0.55000000000000004">
      <c r="A30" s="284">
        <v>20</v>
      </c>
      <c r="B30">
        <v>59.555374269223613</v>
      </c>
      <c r="C30">
        <v>0.69672944801525905</v>
      </c>
      <c r="D30">
        <v>9.375256687212163</v>
      </c>
      <c r="E30">
        <v>2.4094314112167869</v>
      </c>
      <c r="F30">
        <v>1.8009949642669243</v>
      </c>
      <c r="G30">
        <v>5.0295750403146258</v>
      </c>
      <c r="K30">
        <v>15.170772091241597</v>
      </c>
      <c r="L30">
        <v>13.434019130212997</v>
      </c>
    </row>
    <row r="31" spans="1:12" x14ac:dyDescent="0.55000000000000004">
      <c r="A31" s="284">
        <v>100</v>
      </c>
      <c r="B31">
        <v>59.483286073921214</v>
      </c>
      <c r="C31">
        <v>0.36655886184282716</v>
      </c>
      <c r="D31">
        <v>7.5212039469757084</v>
      </c>
      <c r="E31">
        <v>1.2316718887209317</v>
      </c>
      <c r="F31">
        <v>0.65054121133520426</v>
      </c>
      <c r="G31">
        <v>2.4616343539934133</v>
      </c>
      <c r="K31">
        <v>8.6126831432389643</v>
      </c>
      <c r="L31">
        <v>11.475368497146894</v>
      </c>
    </row>
    <row r="32" spans="1:12" x14ac:dyDescent="0.55000000000000004">
      <c r="A32" s="261" t="s">
        <v>74</v>
      </c>
      <c r="B32">
        <v>59.519330171572413</v>
      </c>
      <c r="C32">
        <v>0.53164415492904316</v>
      </c>
      <c r="D32">
        <v>8.4482303170939357</v>
      </c>
      <c r="E32">
        <v>1.8205516499688592</v>
      </c>
      <c r="F32">
        <v>1.2257680878010642</v>
      </c>
      <c r="G32">
        <v>2.1163901839349331</v>
      </c>
      <c r="K32">
        <v>9.2296141684264725</v>
      </c>
      <c r="L32">
        <v>11.84164696196096</v>
      </c>
    </row>
    <row r="33" spans="1:12" x14ac:dyDescent="0.55000000000000004">
      <c r="A33" s="284">
        <v>20</v>
      </c>
      <c r="B33">
        <v>59.555374269223613</v>
      </c>
      <c r="C33">
        <v>0.69672944801525905</v>
      </c>
      <c r="D33">
        <v>9.375256687212163</v>
      </c>
      <c r="E33">
        <v>2.4094314112167869</v>
      </c>
      <c r="F33">
        <v>1.8009949642669243</v>
      </c>
      <c r="G33">
        <v>2.841875773162593</v>
      </c>
      <c r="K33">
        <v>12.225708240854447</v>
      </c>
      <c r="L33">
        <v>12.700767256278827</v>
      </c>
    </row>
    <row r="34" spans="1:12" x14ac:dyDescent="0.55000000000000004">
      <c r="A34" s="284">
        <v>100</v>
      </c>
      <c r="B34">
        <v>59.483286073921214</v>
      </c>
      <c r="C34">
        <v>0.36655886184282716</v>
      </c>
      <c r="D34">
        <v>7.5212039469757084</v>
      </c>
      <c r="E34">
        <v>1.2316718887209317</v>
      </c>
      <c r="F34">
        <v>0.65054121133520426</v>
      </c>
      <c r="G34">
        <v>1.3909045947072729</v>
      </c>
      <c r="K34">
        <v>6.2335200959984967</v>
      </c>
      <c r="L34">
        <v>10.982526667643095</v>
      </c>
    </row>
    <row r="35" spans="1:12" x14ac:dyDescent="0.55000000000000004">
      <c r="A35" s="260" t="s">
        <v>94</v>
      </c>
      <c r="B35">
        <v>74.208676888454491</v>
      </c>
      <c r="C35">
        <v>0.52224287164685401</v>
      </c>
      <c r="D35">
        <v>8.5940750630879705</v>
      </c>
      <c r="E35">
        <v>1.8214165037052858</v>
      </c>
      <c r="F35">
        <v>1.2257544793596564</v>
      </c>
      <c r="G35">
        <v>3.3501206889367166</v>
      </c>
      <c r="H35">
        <v>5.6956554922839659</v>
      </c>
      <c r="I35">
        <v>2.0534047530742821</v>
      </c>
      <c r="J35">
        <v>16.338673787866515</v>
      </c>
      <c r="K35">
        <v>13.444161452430972</v>
      </c>
      <c r="L35">
        <v>19.277774179241604</v>
      </c>
    </row>
  </sheetData>
  <pageMargins left="0.7" right="0.7" top="0.75" bottom="0.75" header="0.3" footer="0.3"/>
  <pageSetup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8B1FE-C0F2-40D1-B080-1CC8F3B21C57}">
  <sheetPr>
    <tabColor theme="8"/>
  </sheetPr>
  <dimension ref="A1:H45"/>
  <sheetViews>
    <sheetView zoomScale="66" workbookViewId="0">
      <selection activeCell="C13" sqref="C13"/>
    </sheetView>
  </sheetViews>
  <sheetFormatPr defaultColWidth="8.83984375" defaultRowHeight="14.4" x14ac:dyDescent="0.55000000000000004"/>
  <cols>
    <col min="1" max="1" width="36" bestFit="1" customWidth="1"/>
    <col min="2" max="2" width="35.26171875" bestFit="1" customWidth="1"/>
    <col min="3" max="3" width="46.41796875" customWidth="1"/>
    <col min="4" max="4" width="36.15625" bestFit="1" customWidth="1"/>
    <col min="5" max="5" width="31.26171875" bestFit="1" customWidth="1"/>
    <col min="6" max="6" width="28" bestFit="1" customWidth="1"/>
    <col min="7" max="7" width="30.26171875" bestFit="1" customWidth="1"/>
    <col min="8" max="8" width="21.41796875" bestFit="1" customWidth="1"/>
  </cols>
  <sheetData>
    <row r="1" spans="1:8" ht="18.3" x14ac:dyDescent="0.7">
      <c r="A1" s="245" t="s">
        <v>97</v>
      </c>
      <c r="B1" s="246" t="s">
        <v>98</v>
      </c>
      <c r="C1" s="247"/>
      <c r="D1" s="246"/>
      <c r="E1" s="246"/>
      <c r="F1" s="246"/>
      <c r="G1" s="246"/>
      <c r="H1" s="246"/>
    </row>
    <row r="2" spans="1:8" ht="18.3" x14ac:dyDescent="0.7">
      <c r="A2" s="248"/>
      <c r="B2" s="249"/>
      <c r="C2" s="250"/>
      <c r="D2" s="249"/>
      <c r="E2" s="249"/>
      <c r="F2" s="249"/>
      <c r="G2" s="249"/>
      <c r="H2" s="249"/>
    </row>
    <row r="3" spans="1:8" ht="18.3" x14ac:dyDescent="0.7">
      <c r="A3" t="s">
        <v>99</v>
      </c>
      <c r="B3" s="251" t="s">
        <v>100</v>
      </c>
      <c r="C3" s="250" t="s">
        <v>101</v>
      </c>
      <c r="D3" s="250" t="s">
        <v>102</v>
      </c>
      <c r="E3" s="250" t="s">
        <v>103</v>
      </c>
      <c r="F3" s="250" t="s">
        <v>104</v>
      </c>
      <c r="G3" s="250" t="s">
        <v>105</v>
      </c>
      <c r="H3" s="249"/>
    </row>
    <row r="4" spans="1:8" x14ac:dyDescent="0.55000000000000004">
      <c r="A4" s="176" t="s">
        <v>106</v>
      </c>
      <c r="B4" s="176"/>
      <c r="C4" s="176"/>
      <c r="D4" s="176"/>
      <c r="E4" s="176"/>
      <c r="F4" s="176"/>
      <c r="G4" s="176"/>
    </row>
    <row r="5" spans="1:8" x14ac:dyDescent="0.55000000000000004">
      <c r="A5" s="553" t="s">
        <v>107</v>
      </c>
      <c r="B5" s="577" t="s">
        <v>108</v>
      </c>
      <c r="C5" s="177" t="s">
        <v>109</v>
      </c>
      <c r="D5" s="178" t="s">
        <v>110</v>
      </c>
      <c r="E5" s="179" t="s">
        <v>111</v>
      </c>
      <c r="F5" s="179" t="s">
        <v>112</v>
      </c>
      <c r="G5" s="179" t="s">
        <v>113</v>
      </c>
    </row>
    <row r="6" spans="1:8" x14ac:dyDescent="0.55000000000000004">
      <c r="A6" s="554"/>
      <c r="B6" s="578"/>
      <c r="C6" s="178" t="s">
        <v>114</v>
      </c>
      <c r="D6" s="576" t="s">
        <v>115</v>
      </c>
      <c r="E6" s="576"/>
      <c r="F6" s="576"/>
      <c r="G6" s="576"/>
    </row>
    <row r="7" spans="1:8" x14ac:dyDescent="0.55000000000000004">
      <c r="A7" s="128" t="s">
        <v>36</v>
      </c>
      <c r="B7" s="128" t="s">
        <v>116</v>
      </c>
      <c r="C7" s="165">
        <v>266574262.049476</v>
      </c>
      <c r="D7" s="180">
        <v>11.84113386319</v>
      </c>
      <c r="E7" s="181">
        <v>5.47126212794302</v>
      </c>
      <c r="F7" s="181">
        <v>2.1846551533940102</v>
      </c>
      <c r="G7" s="181">
        <v>78.2926333327853</v>
      </c>
    </row>
    <row r="8" spans="1:8" x14ac:dyDescent="0.55000000000000004">
      <c r="A8" s="128" t="s">
        <v>36</v>
      </c>
      <c r="B8" s="128" t="s">
        <v>117</v>
      </c>
      <c r="C8" s="165">
        <v>852980280.11207998</v>
      </c>
      <c r="D8" s="180">
        <v>11.834018967602599</v>
      </c>
      <c r="E8" s="181">
        <v>6.6965276566079499</v>
      </c>
      <c r="F8" s="181">
        <v>1.97409281586914</v>
      </c>
      <c r="G8" s="181">
        <v>67.486830616778306</v>
      </c>
    </row>
    <row r="9" spans="1:8" x14ac:dyDescent="0.55000000000000004">
      <c r="A9" s="128" t="s">
        <v>36</v>
      </c>
      <c r="B9" s="128" t="s">
        <v>118</v>
      </c>
      <c r="C9" s="165">
        <v>420282853.582178</v>
      </c>
      <c r="D9" s="180">
        <v>16.962227794419</v>
      </c>
      <c r="E9" s="181">
        <v>6.2893283401259996</v>
      </c>
      <c r="F9" s="181">
        <v>2.1898298007484098</v>
      </c>
      <c r="G9" s="181">
        <v>75.977526991865801</v>
      </c>
    </row>
    <row r="10" spans="1:8" x14ac:dyDescent="0.55000000000000004">
      <c r="A10" s="128" t="s">
        <v>36</v>
      </c>
      <c r="B10" s="128" t="s">
        <v>119</v>
      </c>
      <c r="C10" s="165">
        <v>288937661.95174599</v>
      </c>
      <c r="D10" s="180">
        <v>24.936770939945301</v>
      </c>
      <c r="E10" s="181">
        <v>6.31760965050512</v>
      </c>
      <c r="F10" s="181">
        <v>2.1921487724467799</v>
      </c>
      <c r="G10" s="181">
        <v>76.085487303359102</v>
      </c>
    </row>
    <row r="11" spans="1:8" x14ac:dyDescent="0.55000000000000004">
      <c r="A11" s="128" t="s">
        <v>36</v>
      </c>
      <c r="B11" s="128" t="s">
        <v>120</v>
      </c>
      <c r="C11" s="165">
        <v>736726734.43202496</v>
      </c>
      <c r="D11" s="180">
        <v>18.871537417859201</v>
      </c>
      <c r="E11" s="181">
        <v>5.9232770547382598</v>
      </c>
      <c r="F11" s="181">
        <v>2.24599598409791</v>
      </c>
      <c r="G11" s="181">
        <v>78.216852952672596</v>
      </c>
    </row>
    <row r="12" spans="1:8" x14ac:dyDescent="0.55000000000000004">
      <c r="A12" s="128" t="s">
        <v>36</v>
      </c>
      <c r="B12" s="128" t="s">
        <v>121</v>
      </c>
      <c r="C12" s="165">
        <v>292280200.12346601</v>
      </c>
      <c r="D12" s="180">
        <v>12.215092549258101</v>
      </c>
      <c r="E12" s="181">
        <v>6.08667379994358</v>
      </c>
      <c r="F12" s="181">
        <v>2.1651927449855801</v>
      </c>
      <c r="G12" s="181">
        <v>74.976615769177201</v>
      </c>
    </row>
    <row r="13" spans="1:8" x14ac:dyDescent="0.55000000000000004">
      <c r="B13" s="173" t="s">
        <v>122</v>
      </c>
      <c r="C13" s="501"/>
      <c r="D13" s="174">
        <f>SUMPRODUCT($C$7:$C$12,D7:D12)/SUM($C$7:$C$12)</f>
        <v>15.766852783166261</v>
      </c>
      <c r="E13" s="174">
        <f>SUMPRODUCT($C$7:$C$12,E7:E12)/SUM($C$7:$C$12)</f>
        <v>6.22232443559927</v>
      </c>
      <c r="F13" s="174">
        <f>SUMPRODUCT($C$7:$C$12,F7:F12)/SUM($C$7:$C$12)</f>
        <v>2.1371488830001306</v>
      </c>
      <c r="G13" s="174">
        <f>SUMPRODUCT($C$7:$C$12,G7:G12)/SUM($C$7:$C$12)</f>
        <v>74.145046329511302</v>
      </c>
    </row>
    <row r="14" spans="1:8" x14ac:dyDescent="0.55000000000000004">
      <c r="B14" s="175"/>
      <c r="C14" s="175"/>
      <c r="D14" s="194">
        <f>D13/MJ2mmBTU</f>
        <v>16634.910264968345</v>
      </c>
      <c r="E14" s="194">
        <f>E13/MJ2mmBTU</f>
        <v>6564.899796376958</v>
      </c>
      <c r="F14" s="194">
        <f>F13/MJ2mmBTU</f>
        <v>2254.8114313302535</v>
      </c>
      <c r="G14" s="194">
        <f>G13/MJ2mmBTU</f>
        <v>78227.164878471929</v>
      </c>
    </row>
    <row r="15" spans="1:8" x14ac:dyDescent="0.55000000000000004">
      <c r="A15" s="577" t="s">
        <v>107</v>
      </c>
      <c r="B15" s="577" t="s">
        <v>108</v>
      </c>
      <c r="C15" s="177" t="s">
        <v>109</v>
      </c>
      <c r="D15" s="178" t="s">
        <v>110</v>
      </c>
      <c r="E15" s="179" t="s">
        <v>111</v>
      </c>
      <c r="F15" s="179" t="s">
        <v>112</v>
      </c>
      <c r="G15" s="179" t="s">
        <v>113</v>
      </c>
    </row>
    <row r="16" spans="1:8" x14ac:dyDescent="0.55000000000000004">
      <c r="A16" s="578"/>
      <c r="B16" s="578"/>
      <c r="C16" s="178" t="s">
        <v>114</v>
      </c>
      <c r="D16" s="576" t="s">
        <v>115</v>
      </c>
      <c r="E16" s="576"/>
      <c r="F16" s="576"/>
      <c r="G16" s="576"/>
    </row>
    <row r="17" spans="1:8" x14ac:dyDescent="0.55000000000000004">
      <c r="A17" s="128" t="s">
        <v>37</v>
      </c>
      <c r="B17" s="128" t="s">
        <v>123</v>
      </c>
      <c r="C17" s="165">
        <v>43998056.009797297</v>
      </c>
      <c r="D17" s="180">
        <v>10.387719767948299</v>
      </c>
      <c r="E17" s="181">
        <v>8.7714895474455297</v>
      </c>
      <c r="F17" s="181">
        <v>2.59300767692211</v>
      </c>
      <c r="G17" s="181">
        <v>68.332042011781596</v>
      </c>
    </row>
    <row r="18" spans="1:8" x14ac:dyDescent="0.55000000000000004">
      <c r="A18" s="128" t="s">
        <v>37</v>
      </c>
      <c r="B18" s="128" t="s">
        <v>124</v>
      </c>
      <c r="C18" s="165">
        <v>46292170.280178301</v>
      </c>
      <c r="D18" s="180">
        <v>14.691311226032401</v>
      </c>
      <c r="E18" s="181">
        <v>8.1902608704139208</v>
      </c>
      <c r="F18" s="181">
        <v>1.7897364929002499</v>
      </c>
      <c r="G18" s="181">
        <v>67.452590957759099</v>
      </c>
    </row>
    <row r="19" spans="1:8" x14ac:dyDescent="0.55000000000000004">
      <c r="A19" s="128" t="s">
        <v>37</v>
      </c>
      <c r="B19" s="128" t="s">
        <v>125</v>
      </c>
      <c r="C19" s="165">
        <v>68582132.995157704</v>
      </c>
      <c r="D19" s="180">
        <v>11.8658257771352</v>
      </c>
      <c r="E19" s="181">
        <v>6.4855125913355103</v>
      </c>
      <c r="F19" s="181">
        <v>2.02642453312024</v>
      </c>
      <c r="G19" s="181">
        <v>74.518582086682699</v>
      </c>
    </row>
    <row r="20" spans="1:8" x14ac:dyDescent="0.55000000000000004">
      <c r="A20" s="128" t="s">
        <v>37</v>
      </c>
      <c r="B20" s="128" t="s">
        <v>126</v>
      </c>
      <c r="C20" s="165">
        <v>68537681.134889796</v>
      </c>
      <c r="D20" s="180">
        <v>10.925528298747601</v>
      </c>
      <c r="E20" s="181">
        <v>5.3482285240719403</v>
      </c>
      <c r="F20" s="181">
        <v>1.75291324359184</v>
      </c>
      <c r="G20" s="181">
        <v>70.951782774457797</v>
      </c>
    </row>
    <row r="21" spans="1:8" x14ac:dyDescent="0.55000000000000004">
      <c r="A21" s="128" t="s">
        <v>37</v>
      </c>
      <c r="B21" s="128" t="s">
        <v>127</v>
      </c>
      <c r="C21" s="165">
        <v>157475205.05193999</v>
      </c>
      <c r="D21" s="180">
        <v>13.434796010126799</v>
      </c>
      <c r="E21" s="181">
        <v>8.6041354407779806</v>
      </c>
      <c r="F21" s="181">
        <v>1.84858300727474</v>
      </c>
      <c r="G21" s="181">
        <v>68.299547353150999</v>
      </c>
    </row>
    <row r="22" spans="1:8" x14ac:dyDescent="0.55000000000000004">
      <c r="B22" s="173" t="s">
        <v>122</v>
      </c>
      <c r="C22" s="501"/>
      <c r="D22" s="174">
        <f>SUMPRODUCT($C$17:$C$21,D17:D21)/SUM($C$17:$C$21)</f>
        <v>12.511192586804341</v>
      </c>
      <c r="E22" s="174">
        <f>SUMPRODUCT($C$17:$C$21,E17:E21)/SUM($C$17:$C$21)</f>
        <v>7.616184135057888</v>
      </c>
      <c r="F22" s="174">
        <f>SUMPRODUCT($C$17:$C$21,F17:F21)/SUM($C$17:$C$21)</f>
        <v>1.9412570530743167</v>
      </c>
      <c r="G22" s="174">
        <f>SUMPRODUCT($C$17:$C$21,G17:G21)/SUM($C$17:$C$21)</f>
        <v>69.781846276385266</v>
      </c>
    </row>
    <row r="23" spans="1:8" x14ac:dyDescent="0.55000000000000004">
      <c r="B23" s="175"/>
      <c r="C23" s="175"/>
      <c r="D23" s="194">
        <f>D22/MJ2mmBTU</f>
        <v>13200.006929184554</v>
      </c>
      <c r="E23" s="194">
        <f>E22/MJ2mmBTU</f>
        <v>8035.499626370015</v>
      </c>
      <c r="F23" s="194">
        <f>F22/MJ2mmBTU</f>
        <v>2048.1346101998183</v>
      </c>
      <c r="G23" s="194">
        <f>G22/MJ2mmBTU</f>
        <v>73623.745137701</v>
      </c>
    </row>
    <row r="24" spans="1:8" x14ac:dyDescent="0.55000000000000004">
      <c r="A24" s="176" t="s">
        <v>128</v>
      </c>
      <c r="B24" s="176"/>
      <c r="C24" s="176"/>
      <c r="D24" s="176"/>
      <c r="E24" s="176"/>
      <c r="F24" s="176"/>
      <c r="G24" s="176"/>
      <c r="H24" s="176"/>
    </row>
    <row r="25" spans="1:8" x14ac:dyDescent="0.55000000000000004">
      <c r="A25" s="571" t="s">
        <v>107</v>
      </c>
      <c r="B25" s="572" t="s">
        <v>108</v>
      </c>
      <c r="C25" s="177" t="s">
        <v>109</v>
      </c>
      <c r="D25" s="178" t="s">
        <v>110</v>
      </c>
      <c r="E25" s="179" t="s">
        <v>111</v>
      </c>
      <c r="F25" s="179" t="s">
        <v>112</v>
      </c>
      <c r="G25" s="179" t="s">
        <v>113</v>
      </c>
      <c r="H25" s="179" t="s">
        <v>129</v>
      </c>
    </row>
    <row r="26" spans="1:8" x14ac:dyDescent="0.55000000000000004">
      <c r="A26" s="571"/>
      <c r="B26" s="572"/>
      <c r="C26" s="178" t="s">
        <v>114</v>
      </c>
      <c r="D26" s="573" t="s">
        <v>115</v>
      </c>
      <c r="E26" s="574"/>
      <c r="F26" s="574"/>
      <c r="G26" s="575"/>
      <c r="H26" s="128"/>
    </row>
    <row r="27" spans="1:8" x14ac:dyDescent="0.55000000000000004">
      <c r="A27" s="128" t="s">
        <v>130</v>
      </c>
      <c r="B27" s="128" t="s">
        <v>131</v>
      </c>
      <c r="C27" s="165">
        <v>279951721.29498202</v>
      </c>
      <c r="D27" s="180">
        <v>5.4515062647663299</v>
      </c>
      <c r="E27" s="180">
        <v>0.50673667374092102</v>
      </c>
      <c r="F27" s="180">
        <v>9.7925180650413903</v>
      </c>
      <c r="G27" s="180">
        <v>56.309209030453097</v>
      </c>
      <c r="H27" s="182">
        <f>D27+E27</f>
        <v>5.9582429385072508</v>
      </c>
    </row>
    <row r="28" spans="1:8" x14ac:dyDescent="0.55000000000000004">
      <c r="A28" s="128" t="s">
        <v>130</v>
      </c>
      <c r="B28" s="128" t="s">
        <v>132</v>
      </c>
      <c r="C28" s="165">
        <v>244598929.29919001</v>
      </c>
      <c r="D28" s="180">
        <v>13.091751897689599</v>
      </c>
      <c r="E28" s="180">
        <v>0</v>
      </c>
      <c r="F28" s="180">
        <v>8.7243995959315299</v>
      </c>
      <c r="G28" s="180">
        <v>52.839114156783097</v>
      </c>
      <c r="H28" s="182">
        <f t="shared" ref="H28:H38" si="0">D28+E28</f>
        <v>13.091751897689599</v>
      </c>
    </row>
    <row r="29" spans="1:8" x14ac:dyDescent="0.55000000000000004">
      <c r="A29" s="128" t="s">
        <v>130</v>
      </c>
      <c r="B29" s="128" t="s">
        <v>133</v>
      </c>
      <c r="C29" s="165">
        <v>225359131.860295</v>
      </c>
      <c r="D29" s="180">
        <v>12.3169947877985</v>
      </c>
      <c r="E29" s="180">
        <v>0</v>
      </c>
      <c r="F29" s="180">
        <v>8.7194088670912109</v>
      </c>
      <c r="G29" s="180">
        <v>52.887760029315203</v>
      </c>
      <c r="H29" s="182">
        <f t="shared" si="0"/>
        <v>12.3169947877985</v>
      </c>
    </row>
    <row r="30" spans="1:8" x14ac:dyDescent="0.55000000000000004">
      <c r="A30" s="128" t="s">
        <v>130</v>
      </c>
      <c r="B30" s="128" t="s">
        <v>134</v>
      </c>
      <c r="C30" s="165">
        <v>1189751860.4161601</v>
      </c>
      <c r="D30" s="180">
        <v>18.387829741158999</v>
      </c>
      <c r="E30" s="180">
        <v>0</v>
      </c>
      <c r="F30" s="180">
        <v>9.7278443903259504</v>
      </c>
      <c r="G30" s="180">
        <v>47.202770201004199</v>
      </c>
      <c r="H30" s="182">
        <f t="shared" si="0"/>
        <v>18.387829741158999</v>
      </c>
    </row>
    <row r="31" spans="1:8" x14ac:dyDescent="0.55000000000000004">
      <c r="A31" s="128" t="s">
        <v>130</v>
      </c>
      <c r="B31" s="128" t="s">
        <v>135</v>
      </c>
      <c r="C31" s="165">
        <v>1326618296.43594</v>
      </c>
      <c r="D31" s="180">
        <v>5.5688159205681602</v>
      </c>
      <c r="E31" s="180">
        <v>0.81008770888572001</v>
      </c>
      <c r="F31" s="180">
        <v>9.86176524573691</v>
      </c>
      <c r="G31" s="180">
        <v>54.945785807719297</v>
      </c>
      <c r="H31" s="182">
        <f t="shared" si="0"/>
        <v>6.3789036294538803</v>
      </c>
    </row>
    <row r="32" spans="1:8" x14ac:dyDescent="0.55000000000000004">
      <c r="A32" s="128" t="s">
        <v>130</v>
      </c>
      <c r="B32" s="128" t="s">
        <v>136</v>
      </c>
      <c r="C32" s="165">
        <v>1128362237.5011699</v>
      </c>
      <c r="D32" s="180">
        <v>4.6183500912051496</v>
      </c>
      <c r="E32" s="180">
        <v>0</v>
      </c>
      <c r="F32" s="180">
        <v>8.8608210990488807</v>
      </c>
      <c r="G32" s="180">
        <v>51.326694107289697</v>
      </c>
      <c r="H32" s="182">
        <f t="shared" si="0"/>
        <v>4.6183500912051496</v>
      </c>
    </row>
    <row r="33" spans="1:8" x14ac:dyDescent="0.55000000000000004">
      <c r="A33" s="128" t="s">
        <v>130</v>
      </c>
      <c r="B33" s="128" t="s">
        <v>137</v>
      </c>
      <c r="C33" s="165">
        <v>416072833.71411997</v>
      </c>
      <c r="D33" s="180">
        <v>5.4589330380982499</v>
      </c>
      <c r="E33" s="180">
        <v>0</v>
      </c>
      <c r="F33" s="180">
        <v>9.1681543819879892</v>
      </c>
      <c r="G33" s="180">
        <v>47.623423761268299</v>
      </c>
      <c r="H33" s="182">
        <f t="shared" si="0"/>
        <v>5.4589330380982499</v>
      </c>
    </row>
    <row r="34" spans="1:8" x14ac:dyDescent="0.55000000000000004">
      <c r="A34" s="128" t="s">
        <v>130</v>
      </c>
      <c r="B34" s="128" t="s">
        <v>138</v>
      </c>
      <c r="C34" s="165">
        <v>798843037.76842594</v>
      </c>
      <c r="D34" s="180">
        <v>5.8318140429705601</v>
      </c>
      <c r="E34" s="180">
        <v>0.50514960681296095</v>
      </c>
      <c r="F34" s="180">
        <v>9.6193509015049603</v>
      </c>
      <c r="G34" s="180">
        <v>56.002480412346003</v>
      </c>
      <c r="H34" s="182">
        <f t="shared" si="0"/>
        <v>6.3369636497835211</v>
      </c>
    </row>
    <row r="35" spans="1:8" x14ac:dyDescent="0.55000000000000004">
      <c r="A35" s="128" t="s">
        <v>130</v>
      </c>
      <c r="B35" s="128" t="s">
        <v>139</v>
      </c>
      <c r="C35" s="165">
        <v>669507085.62704599</v>
      </c>
      <c r="D35" s="180">
        <v>4.69911301384714</v>
      </c>
      <c r="E35" s="180">
        <v>0</v>
      </c>
      <c r="F35" s="180">
        <v>8.9452064343531692</v>
      </c>
      <c r="G35" s="180">
        <v>50.308565343320502</v>
      </c>
      <c r="H35" s="182">
        <f t="shared" si="0"/>
        <v>4.69911301384714</v>
      </c>
    </row>
    <row r="36" spans="1:8" x14ac:dyDescent="0.55000000000000004">
      <c r="A36" s="128" t="s">
        <v>130</v>
      </c>
      <c r="B36" s="128" t="s">
        <v>140</v>
      </c>
      <c r="C36" s="165">
        <v>421140589.774885</v>
      </c>
      <c r="D36" s="180">
        <v>5.3635660146771302</v>
      </c>
      <c r="E36" s="180">
        <v>0</v>
      </c>
      <c r="F36" s="180">
        <v>10.3947399866233</v>
      </c>
      <c r="G36" s="180">
        <v>55.312931657184699</v>
      </c>
      <c r="H36" s="182">
        <f t="shared" si="0"/>
        <v>5.3635660146771302</v>
      </c>
    </row>
    <row r="37" spans="1:8" x14ac:dyDescent="0.55000000000000004">
      <c r="A37" s="128" t="s">
        <v>130</v>
      </c>
      <c r="B37" s="128" t="s">
        <v>141</v>
      </c>
      <c r="C37" s="165">
        <v>265488697.392315</v>
      </c>
      <c r="D37" s="180">
        <v>12.3155857209258</v>
      </c>
      <c r="E37" s="180">
        <v>0</v>
      </c>
      <c r="F37" s="180">
        <v>8.7188139167955203</v>
      </c>
      <c r="G37" s="180">
        <v>52.8938141329904</v>
      </c>
      <c r="H37" s="182">
        <f t="shared" si="0"/>
        <v>12.3155857209258</v>
      </c>
    </row>
    <row r="38" spans="1:8" x14ac:dyDescent="0.55000000000000004">
      <c r="A38" s="128" t="s">
        <v>130</v>
      </c>
      <c r="B38" s="128" t="s">
        <v>142</v>
      </c>
      <c r="C38" s="165">
        <v>1165285678.87672</v>
      </c>
      <c r="D38" s="180">
        <v>5.1402146774747397</v>
      </c>
      <c r="E38" s="180">
        <v>0</v>
      </c>
      <c r="F38" s="180">
        <v>9.5786811780802203</v>
      </c>
      <c r="G38" s="180">
        <v>45.9896325616048</v>
      </c>
      <c r="H38" s="182">
        <f t="shared" si="0"/>
        <v>5.1402146774747397</v>
      </c>
    </row>
    <row r="39" spans="1:8" x14ac:dyDescent="0.55000000000000004">
      <c r="B39" s="173" t="s">
        <v>143</v>
      </c>
      <c r="C39" s="500"/>
      <c r="D39" s="174">
        <f>SUMPRODUCT($C$27:$C$38,D27:D38)/SUM($C$27:$C$38)</f>
        <v>7.8187799089794074</v>
      </c>
      <c r="E39" s="174">
        <f>SUMPRODUCT($C$27:$C$38,E27:E38)/SUM($C$27:$C$38)</f>
        <v>0.1992471026739378</v>
      </c>
      <c r="F39" s="174">
        <f>SUMPRODUCT($C$27:$C$38,F27:F38)/SUM($C$27:$C$38)</f>
        <v>9.4499417887705572</v>
      </c>
      <c r="G39" s="174">
        <f>SUMPRODUCT($C$27:$C$38,G27:G38)/SUM($C$27:$C$38)</f>
        <v>51.25286167587025</v>
      </c>
      <c r="H39" s="174">
        <f>SUMPRODUCT($C$27:$C$38,H27:H38)/SUM($C$27:$C$38)</f>
        <v>8.018027011653345</v>
      </c>
    </row>
    <row r="40" spans="1:8" x14ac:dyDescent="0.55000000000000004">
      <c r="B40" s="16"/>
      <c r="C40" s="16"/>
      <c r="D40" s="194">
        <f>D39/MJ2mmBTU</f>
        <v>8249.2494828311919</v>
      </c>
      <c r="E40" s="194">
        <f>E39/MJ2mmBTU</f>
        <v>210.21682127168873</v>
      </c>
      <c r="F40" s="194">
        <f>F39/MJ2mmBTU</f>
        <v>9970.2163664018408</v>
      </c>
      <c r="G40" s="194">
        <f>G39/MJ2mmBTU</f>
        <v>54074.631540367714</v>
      </c>
      <c r="H40" s="194">
        <f>H39/MJ2mmBTU</f>
        <v>8459.4663041028798</v>
      </c>
    </row>
    <row r="41" spans="1:8" x14ac:dyDescent="0.55000000000000004">
      <c r="A41" s="571" t="s">
        <v>107</v>
      </c>
      <c r="B41" s="572" t="s">
        <v>108</v>
      </c>
      <c r="C41" s="177" t="s">
        <v>109</v>
      </c>
      <c r="D41" s="178" t="s">
        <v>110</v>
      </c>
      <c r="E41" s="179" t="s">
        <v>111</v>
      </c>
      <c r="F41" s="179" t="s">
        <v>112</v>
      </c>
      <c r="G41" s="179" t="s">
        <v>113</v>
      </c>
      <c r="H41" s="179" t="s">
        <v>129</v>
      </c>
    </row>
    <row r="42" spans="1:8" x14ac:dyDescent="0.55000000000000004">
      <c r="A42" s="571"/>
      <c r="B42" s="572"/>
      <c r="C42" s="178" t="s">
        <v>114</v>
      </c>
      <c r="D42" s="573" t="s">
        <v>115</v>
      </c>
      <c r="E42" s="574"/>
      <c r="F42" s="574"/>
      <c r="G42" s="575"/>
      <c r="H42" s="128"/>
    </row>
    <row r="43" spans="1:8" x14ac:dyDescent="0.55000000000000004">
      <c r="A43" s="128" t="s">
        <v>144</v>
      </c>
      <c r="B43" s="128" t="s">
        <v>145</v>
      </c>
      <c r="C43" s="165">
        <v>3619670185.8954701</v>
      </c>
      <c r="D43" s="180">
        <v>5.0600286080800396</v>
      </c>
      <c r="E43" s="180">
        <v>0.74310285236792495</v>
      </c>
      <c r="F43" s="180">
        <v>10.1056222396445</v>
      </c>
      <c r="G43" s="180">
        <v>56.689020652870902</v>
      </c>
      <c r="H43" s="182">
        <f>D43+E43</f>
        <v>5.8031314604479647</v>
      </c>
    </row>
    <row r="44" spans="1:8" x14ac:dyDescent="0.55000000000000004">
      <c r="B44" s="16"/>
      <c r="C44" s="16"/>
      <c r="D44" s="174">
        <f>D43</f>
        <v>5.0600286080800396</v>
      </c>
      <c r="E44" s="174">
        <f>E43</f>
        <v>0.74310285236792495</v>
      </c>
      <c r="F44" s="174">
        <f>F43</f>
        <v>10.1056222396445</v>
      </c>
      <c r="G44" s="174">
        <f>G43</f>
        <v>56.689020652870902</v>
      </c>
      <c r="H44" s="174">
        <f>H43</f>
        <v>5.8031314604479647</v>
      </c>
    </row>
    <row r="45" spans="1:8" x14ac:dyDescent="0.55000000000000004">
      <c r="B45" s="16"/>
      <c r="C45" s="16"/>
      <c r="D45" s="194">
        <f>D44/MJ2mmBTU</f>
        <v>5338.6127841222033</v>
      </c>
      <c r="E45" s="194">
        <f>E44/MJ2mmBTU</f>
        <v>784.01501154246557</v>
      </c>
      <c r="F45" s="194">
        <f>F44/MJ2mmBTU</f>
        <v>10661.995861827032</v>
      </c>
      <c r="G45" s="194">
        <f>G44/MJ2mmBTU</f>
        <v>59810.082870582264</v>
      </c>
      <c r="H45" s="194">
        <f>H44/MJ2mmBTU</f>
        <v>6122.6277956646691</v>
      </c>
    </row>
  </sheetData>
  <mergeCells count="12">
    <mergeCell ref="A41:A42"/>
    <mergeCell ref="B41:B42"/>
    <mergeCell ref="D42:G42"/>
    <mergeCell ref="B25:B26"/>
    <mergeCell ref="D6:G6"/>
    <mergeCell ref="D16:G16"/>
    <mergeCell ref="D26:G26"/>
    <mergeCell ref="A5:A6"/>
    <mergeCell ref="B5:B6"/>
    <mergeCell ref="A15:A16"/>
    <mergeCell ref="B15:B16"/>
    <mergeCell ref="A25:A26"/>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093F1-9206-4244-B4E0-444959C25F1B}">
  <sheetPr>
    <tabColor theme="8"/>
  </sheetPr>
  <dimension ref="A1:H45"/>
  <sheetViews>
    <sheetView zoomScale="70" zoomScaleNormal="70" workbookViewId="0">
      <selection activeCell="B46" sqref="B46"/>
    </sheetView>
  </sheetViews>
  <sheetFormatPr defaultColWidth="8.83984375" defaultRowHeight="14.4" x14ac:dyDescent="0.55000000000000004"/>
  <cols>
    <col min="1" max="1" width="36" bestFit="1" customWidth="1"/>
    <col min="2" max="2" width="35.26171875" bestFit="1" customWidth="1"/>
    <col min="3" max="3" width="46.41796875" customWidth="1"/>
    <col min="4" max="4" width="36.15625" bestFit="1" customWidth="1"/>
    <col min="5" max="5" width="31.26171875" bestFit="1" customWidth="1"/>
    <col min="6" max="6" width="28" bestFit="1" customWidth="1"/>
    <col min="7" max="7" width="30.26171875" bestFit="1" customWidth="1"/>
    <col min="8" max="8" width="21.41796875" bestFit="1" customWidth="1"/>
  </cols>
  <sheetData>
    <row r="1" spans="1:8" ht="18.3" x14ac:dyDescent="0.7">
      <c r="A1" s="245" t="s">
        <v>146</v>
      </c>
      <c r="B1" s="246" t="s">
        <v>98</v>
      </c>
      <c r="C1" s="247"/>
      <c r="D1" s="246"/>
      <c r="E1" s="246"/>
      <c r="F1" s="246"/>
      <c r="G1" s="246"/>
      <c r="H1" s="246"/>
    </row>
    <row r="2" spans="1:8" ht="18.3" x14ac:dyDescent="0.7">
      <c r="A2" s="248"/>
      <c r="B2" s="249"/>
      <c r="C2" s="250"/>
      <c r="D2" s="249"/>
      <c r="E2" s="249"/>
      <c r="F2" s="249"/>
      <c r="G2" s="249"/>
      <c r="H2" s="249"/>
    </row>
    <row r="3" spans="1:8" ht="18.3" x14ac:dyDescent="0.7">
      <c r="A3" t="s">
        <v>99</v>
      </c>
      <c r="B3" s="251" t="s">
        <v>100</v>
      </c>
      <c r="C3" s="250" t="s">
        <v>101</v>
      </c>
      <c r="D3" s="250" t="s">
        <v>102</v>
      </c>
      <c r="E3" s="250" t="s">
        <v>103</v>
      </c>
      <c r="F3" s="250" t="s">
        <v>104</v>
      </c>
      <c r="G3" s="250" t="s">
        <v>105</v>
      </c>
      <c r="H3" s="249"/>
    </row>
    <row r="4" spans="1:8" x14ac:dyDescent="0.55000000000000004">
      <c r="A4" s="176" t="s">
        <v>106</v>
      </c>
      <c r="B4" s="176"/>
      <c r="C4" s="176"/>
      <c r="D4" s="176"/>
      <c r="E4" s="176"/>
      <c r="F4" s="176"/>
      <c r="G4" s="176"/>
    </row>
    <row r="5" spans="1:8" x14ac:dyDescent="0.55000000000000004">
      <c r="A5" s="553" t="s">
        <v>107</v>
      </c>
      <c r="B5" s="577" t="s">
        <v>108</v>
      </c>
      <c r="C5" s="177" t="s">
        <v>109</v>
      </c>
      <c r="D5" s="178" t="s">
        <v>110</v>
      </c>
      <c r="E5" s="179" t="s">
        <v>111</v>
      </c>
      <c r="F5" s="179" t="s">
        <v>112</v>
      </c>
      <c r="G5" s="179" t="s">
        <v>113</v>
      </c>
    </row>
    <row r="6" spans="1:8" x14ac:dyDescent="0.55000000000000004">
      <c r="A6" s="554"/>
      <c r="B6" s="578"/>
      <c r="C6" s="178" t="s">
        <v>114</v>
      </c>
      <c r="D6" s="576" t="s">
        <v>115</v>
      </c>
      <c r="E6" s="576"/>
      <c r="F6" s="576"/>
      <c r="G6" s="576"/>
    </row>
    <row r="7" spans="1:8" x14ac:dyDescent="0.55000000000000004">
      <c r="A7" s="128" t="s">
        <v>36</v>
      </c>
      <c r="B7" s="128" t="s">
        <v>116</v>
      </c>
      <c r="C7" s="165">
        <v>266574262.049476</v>
      </c>
      <c r="D7" s="180">
        <v>22.343866950072599</v>
      </c>
      <c r="E7" s="181">
        <v>5.5768793340646203</v>
      </c>
      <c r="F7" s="181">
        <v>2.20981194808288</v>
      </c>
      <c r="G7" s="181">
        <v>78.309136569440497</v>
      </c>
    </row>
    <row r="8" spans="1:8" x14ac:dyDescent="0.55000000000000004">
      <c r="A8" s="128" t="s">
        <v>36</v>
      </c>
      <c r="B8" s="128" t="s">
        <v>117</v>
      </c>
      <c r="C8" s="165">
        <v>852980280.11207998</v>
      </c>
      <c r="D8" s="180">
        <v>22.067839258086</v>
      </c>
      <c r="E8" s="181">
        <v>6.8275869730423899</v>
      </c>
      <c r="F8" s="181">
        <v>1.9964169379934</v>
      </c>
      <c r="G8" s="181">
        <v>67.515837036216894</v>
      </c>
    </row>
    <row r="9" spans="1:8" x14ac:dyDescent="0.55000000000000004">
      <c r="A9" s="128" t="s">
        <v>36</v>
      </c>
      <c r="B9" s="128" t="s">
        <v>118</v>
      </c>
      <c r="C9" s="165">
        <v>420282853.582178</v>
      </c>
      <c r="D9" s="180">
        <v>31.333546807003302</v>
      </c>
      <c r="E9" s="181">
        <v>6.4062301227548097</v>
      </c>
      <c r="F9" s="181">
        <v>2.21497124035319</v>
      </c>
      <c r="G9" s="181">
        <v>75.999197954223007</v>
      </c>
    </row>
    <row r="10" spans="1:8" x14ac:dyDescent="0.55000000000000004">
      <c r="A10" s="128" t="s">
        <v>36</v>
      </c>
      <c r="B10" s="128" t="s">
        <v>119</v>
      </c>
      <c r="C10" s="165">
        <v>288937661.95174599</v>
      </c>
      <c r="D10" s="180">
        <v>46.001771649729399</v>
      </c>
      <c r="E10" s="181">
        <v>6.4347264918192497</v>
      </c>
      <c r="F10" s="181">
        <v>2.2173395551227402</v>
      </c>
      <c r="G10" s="181">
        <v>76.107832196223399</v>
      </c>
    </row>
    <row r="11" spans="1:8" x14ac:dyDescent="0.55000000000000004">
      <c r="A11" s="128" t="s">
        <v>36</v>
      </c>
      <c r="B11" s="128" t="s">
        <v>120</v>
      </c>
      <c r="C11" s="165">
        <v>736726734.43202496</v>
      </c>
      <c r="D11" s="180">
        <v>35.212345666540799</v>
      </c>
      <c r="E11" s="181">
        <v>6.0352110197230697</v>
      </c>
      <c r="F11" s="181">
        <v>2.2718869046913999</v>
      </c>
      <c r="G11" s="181">
        <v>78.236879851386504</v>
      </c>
    </row>
    <row r="12" spans="1:8" x14ac:dyDescent="0.55000000000000004">
      <c r="A12" s="128" t="s">
        <v>36</v>
      </c>
      <c r="B12" s="128" t="s">
        <v>121</v>
      </c>
      <c r="C12" s="165">
        <v>292280200.12346601</v>
      </c>
      <c r="D12" s="180">
        <v>21.359095958008101</v>
      </c>
      <c r="E12" s="181">
        <v>6.19973457551907</v>
      </c>
      <c r="F12" s="181">
        <v>2.18997593277264</v>
      </c>
      <c r="G12" s="181">
        <v>74.996825608790601</v>
      </c>
    </row>
    <row r="13" spans="1:8" x14ac:dyDescent="0.55000000000000004">
      <c r="B13" s="173" t="s">
        <v>122</v>
      </c>
      <c r="D13" s="174">
        <f>SUMPRODUCT($C$7:$C$12,D7:D12)/SUM($C$7:$C$12)</f>
        <v>29.192235750754794</v>
      </c>
      <c r="E13" s="174">
        <f>SUMPRODUCT($C$7:$C$12,E7:E12)/SUM($C$7:$C$12)</f>
        <v>6.3407474972064763</v>
      </c>
      <c r="F13" s="174">
        <f>SUMPRODUCT($C$7:$C$12,F7:F12)/SUM($C$7:$C$12)</f>
        <v>2.1616124146508513</v>
      </c>
      <c r="G13" s="174">
        <f>SUMPRODUCT($C$7:$C$12,G7:G12)/SUM($C$7:$C$12)</f>
        <v>74.167919573427355</v>
      </c>
    </row>
    <row r="14" spans="1:8" x14ac:dyDescent="0.55000000000000004">
      <c r="B14" s="175"/>
      <c r="C14" s="175"/>
      <c r="D14" s="194">
        <f>D13/MJ2mmBTU</f>
        <v>30799.439103412988</v>
      </c>
      <c r="E14" s="194">
        <f>E13/MJ2mmBTU</f>
        <v>6689.8427403005517</v>
      </c>
      <c r="F14" s="194">
        <f>F13/MJ2mmBTU</f>
        <v>2280.6218235100064</v>
      </c>
      <c r="G14" s="194">
        <f>G13/MJ2mmBTU</f>
        <v>78251.297428274047</v>
      </c>
    </row>
    <row r="15" spans="1:8" x14ac:dyDescent="0.55000000000000004">
      <c r="A15" s="577" t="s">
        <v>107</v>
      </c>
      <c r="B15" s="577" t="s">
        <v>108</v>
      </c>
      <c r="C15" s="177" t="s">
        <v>109</v>
      </c>
      <c r="D15" s="178" t="s">
        <v>110</v>
      </c>
      <c r="E15" s="179" t="s">
        <v>111</v>
      </c>
      <c r="F15" s="179" t="s">
        <v>112</v>
      </c>
      <c r="G15" s="179" t="s">
        <v>113</v>
      </c>
    </row>
    <row r="16" spans="1:8" x14ac:dyDescent="0.55000000000000004">
      <c r="A16" s="578"/>
      <c r="B16" s="578"/>
      <c r="C16" s="178" t="s">
        <v>114</v>
      </c>
      <c r="D16" s="576" t="s">
        <v>115</v>
      </c>
      <c r="E16" s="576"/>
      <c r="F16" s="576"/>
      <c r="G16" s="576"/>
    </row>
    <row r="17" spans="1:8" x14ac:dyDescent="0.55000000000000004">
      <c r="A17" s="128" t="s">
        <v>37</v>
      </c>
      <c r="B17" s="128" t="s">
        <v>123</v>
      </c>
      <c r="C17" s="165">
        <v>43998056.009797297</v>
      </c>
      <c r="D17" s="180">
        <v>18.460279863974399</v>
      </c>
      <c r="E17" s="181">
        <v>8.8517582996092194</v>
      </c>
      <c r="F17" s="181">
        <v>2.9908261439550499</v>
      </c>
      <c r="G17" s="181">
        <v>68.491303041928305</v>
      </c>
    </row>
    <row r="18" spans="1:8" x14ac:dyDescent="0.55000000000000004">
      <c r="A18" s="128" t="s">
        <v>37</v>
      </c>
      <c r="B18" s="128" t="s">
        <v>124</v>
      </c>
      <c r="C18" s="165">
        <v>46292170.280178301</v>
      </c>
      <c r="D18" s="180">
        <v>23.552473379017801</v>
      </c>
      <c r="E18" s="181">
        <v>8.2644103982283301</v>
      </c>
      <c r="F18" s="181">
        <v>1.8110403269784601</v>
      </c>
      <c r="G18" s="181">
        <v>67.472660090254706</v>
      </c>
    </row>
    <row r="19" spans="1:8" x14ac:dyDescent="0.55000000000000004">
      <c r="A19" s="128" t="s">
        <v>37</v>
      </c>
      <c r="B19" s="128" t="s">
        <v>125</v>
      </c>
      <c r="C19" s="165">
        <v>68582132.995157704</v>
      </c>
      <c r="D19" s="180">
        <v>20.205781156377601</v>
      </c>
      <c r="E19" s="181">
        <v>6.6023141857444596</v>
      </c>
      <c r="F19" s="181">
        <v>2.0509953813048201</v>
      </c>
      <c r="G19" s="181">
        <v>74.541456878882002</v>
      </c>
    </row>
    <row r="20" spans="1:8" x14ac:dyDescent="0.55000000000000004">
      <c r="A20" s="128" t="s">
        <v>37</v>
      </c>
      <c r="B20" s="128" t="s">
        <v>126</v>
      </c>
      <c r="C20" s="165">
        <v>68537681.134889796</v>
      </c>
      <c r="D20" s="180">
        <v>19.7161244095056</v>
      </c>
      <c r="E20" s="181">
        <v>5.4447321620813502</v>
      </c>
      <c r="F20" s="181">
        <v>1.77377563327762</v>
      </c>
      <c r="G20" s="181">
        <v>70.970246852922699</v>
      </c>
    </row>
    <row r="21" spans="1:8" x14ac:dyDescent="0.55000000000000004">
      <c r="A21" s="128" t="s">
        <v>37</v>
      </c>
      <c r="B21" s="128" t="s">
        <v>127</v>
      </c>
      <c r="C21" s="165">
        <v>157475205.05193999</v>
      </c>
      <c r="D21" s="180">
        <v>19.600633612464801</v>
      </c>
      <c r="E21" s="181">
        <v>8.6822420409749395</v>
      </c>
      <c r="F21" s="181">
        <v>1.8707092991306999</v>
      </c>
      <c r="G21" s="181">
        <v>68.3207139765683</v>
      </c>
    </row>
    <row r="22" spans="1:8" x14ac:dyDescent="0.55000000000000004">
      <c r="B22" s="173" t="s">
        <v>122</v>
      </c>
      <c r="D22" s="174">
        <f>SUMPRODUCT($C$17:$C$21,D17:D21)/SUM($C$17:$C$21)</f>
        <v>20.073979042562296</v>
      </c>
      <c r="E22" s="174">
        <f>SUMPRODUCT($C$17:$C$21,E17:E21)/SUM($C$17:$C$21)</f>
        <v>7.7042329832638794</v>
      </c>
      <c r="F22" s="174">
        <f>SUMPRODUCT($C$17:$C$21,F17:F21)/SUM($C$17:$C$21)</f>
        <v>2.0064421011924956</v>
      </c>
      <c r="G22" s="174">
        <f>SUMPRODUCT($C$17:$C$21,G17:G21)/SUM($C$17:$C$21)</f>
        <v>69.81849025044086</v>
      </c>
    </row>
    <row r="23" spans="1:8" x14ac:dyDescent="0.55000000000000004">
      <c r="B23" s="175"/>
      <c r="C23" s="175"/>
      <c r="D23" s="194">
        <f>D22/MJ2mmBTU</f>
        <v>21179.169021632752</v>
      </c>
      <c r="E23" s="194">
        <f>E22/MJ2mmBTU</f>
        <v>8128.3960787555088</v>
      </c>
      <c r="F23" s="194">
        <f>F22/MJ2mmBTU</f>
        <v>2116.9084765494345</v>
      </c>
      <c r="G23" s="194">
        <f>G22/MJ2mmBTU</f>
        <v>73662.406576895592</v>
      </c>
    </row>
    <row r="24" spans="1:8" x14ac:dyDescent="0.55000000000000004">
      <c r="A24" s="176" t="s">
        <v>128</v>
      </c>
      <c r="B24" s="176"/>
      <c r="C24" s="176"/>
      <c r="D24" s="176"/>
      <c r="E24" s="176"/>
      <c r="F24" s="176"/>
      <c r="G24" s="176"/>
      <c r="H24" s="176"/>
    </row>
    <row r="25" spans="1:8" x14ac:dyDescent="0.55000000000000004">
      <c r="A25" s="571" t="s">
        <v>107</v>
      </c>
      <c r="B25" s="572" t="s">
        <v>108</v>
      </c>
      <c r="C25" s="177" t="s">
        <v>109</v>
      </c>
      <c r="D25" s="178" t="s">
        <v>110</v>
      </c>
      <c r="E25" s="179" t="s">
        <v>111</v>
      </c>
      <c r="F25" s="179" t="s">
        <v>112</v>
      </c>
      <c r="G25" s="179" t="s">
        <v>113</v>
      </c>
      <c r="H25" s="179" t="s">
        <v>129</v>
      </c>
    </row>
    <row r="26" spans="1:8" x14ac:dyDescent="0.55000000000000004">
      <c r="A26" s="571"/>
      <c r="B26" s="572"/>
      <c r="C26" s="178" t="s">
        <v>114</v>
      </c>
      <c r="D26" s="573" t="s">
        <v>115</v>
      </c>
      <c r="E26" s="574"/>
      <c r="F26" s="574"/>
      <c r="G26" s="575"/>
      <c r="H26" s="128"/>
    </row>
    <row r="27" spans="1:8" x14ac:dyDescent="0.55000000000000004">
      <c r="A27" s="128" t="s">
        <v>130</v>
      </c>
      <c r="B27" s="128" t="s">
        <v>131</v>
      </c>
      <c r="C27" s="165">
        <v>279951721.29498202</v>
      </c>
      <c r="D27" s="180">
        <v>11.741707187568601</v>
      </c>
      <c r="E27" s="180">
        <v>0.51832026372887996</v>
      </c>
      <c r="F27" s="180">
        <v>11.840585333489001</v>
      </c>
      <c r="G27" s="180">
        <v>59.849316678070601</v>
      </c>
      <c r="H27" s="182">
        <f>D27+E27</f>
        <v>12.26002745129748</v>
      </c>
    </row>
    <row r="28" spans="1:8" x14ac:dyDescent="0.55000000000000004">
      <c r="A28" s="128" t="s">
        <v>130</v>
      </c>
      <c r="B28" s="128" t="s">
        <v>132</v>
      </c>
      <c r="C28" s="165">
        <v>244598929.29919001</v>
      </c>
      <c r="D28" s="180">
        <v>19.918865420818399</v>
      </c>
      <c r="E28" s="180">
        <v>0</v>
      </c>
      <c r="F28" s="180">
        <v>10.986785134799501</v>
      </c>
      <c r="G28" s="180">
        <v>57.597196015533598</v>
      </c>
      <c r="H28" s="182">
        <f t="shared" ref="H28:H38" si="0">D28+E28</f>
        <v>19.918865420818399</v>
      </c>
    </row>
    <row r="29" spans="1:8" x14ac:dyDescent="0.55000000000000004">
      <c r="A29" s="128" t="s">
        <v>130</v>
      </c>
      <c r="B29" s="128" t="s">
        <v>133</v>
      </c>
      <c r="C29" s="165">
        <v>225359131.860295</v>
      </c>
      <c r="D29" s="180">
        <v>19.104221371375601</v>
      </c>
      <c r="E29" s="180">
        <v>0</v>
      </c>
      <c r="F29" s="180">
        <v>10.983861782169701</v>
      </c>
      <c r="G29" s="180">
        <v>57.650222777421099</v>
      </c>
      <c r="H29" s="182">
        <f t="shared" si="0"/>
        <v>19.104221371375601</v>
      </c>
    </row>
    <row r="30" spans="1:8" x14ac:dyDescent="0.55000000000000004">
      <c r="A30" s="128" t="s">
        <v>130</v>
      </c>
      <c r="B30" s="128" t="s">
        <v>134</v>
      </c>
      <c r="C30" s="165">
        <v>1189751860.4161601</v>
      </c>
      <c r="D30" s="180">
        <v>24.3713904037558</v>
      </c>
      <c r="E30" s="180">
        <v>0</v>
      </c>
      <c r="F30" s="180">
        <v>12.2975029047342</v>
      </c>
      <c r="G30" s="180">
        <v>50.991994742152301</v>
      </c>
      <c r="H30" s="182">
        <f t="shared" si="0"/>
        <v>24.3713904037558</v>
      </c>
    </row>
    <row r="31" spans="1:8" x14ac:dyDescent="0.55000000000000004">
      <c r="A31" s="128" t="s">
        <v>130</v>
      </c>
      <c r="B31" s="128" t="s">
        <v>135</v>
      </c>
      <c r="C31" s="165">
        <v>1326618296.43594</v>
      </c>
      <c r="D31" s="180">
        <v>12.014369843526801</v>
      </c>
      <c r="E31" s="180">
        <v>0.83009332291957205</v>
      </c>
      <c r="F31" s="180">
        <v>11.368710840721199</v>
      </c>
      <c r="G31" s="180">
        <v>58.091997307746297</v>
      </c>
      <c r="H31" s="182">
        <f t="shared" si="0"/>
        <v>12.844463166446372</v>
      </c>
    </row>
    <row r="32" spans="1:8" x14ac:dyDescent="0.55000000000000004">
      <c r="A32" s="128" t="s">
        <v>130</v>
      </c>
      <c r="B32" s="128" t="s">
        <v>136</v>
      </c>
      <c r="C32" s="165">
        <v>1128362237.5011699</v>
      </c>
      <c r="D32" s="180">
        <v>10.072457990615501</v>
      </c>
      <c r="E32" s="180">
        <v>0</v>
      </c>
      <c r="F32" s="180">
        <v>10.8287760678857</v>
      </c>
      <c r="G32" s="180">
        <v>55.447060367783003</v>
      </c>
      <c r="H32" s="182">
        <f t="shared" si="0"/>
        <v>10.072457990615501</v>
      </c>
    </row>
    <row r="33" spans="1:8" x14ac:dyDescent="0.55000000000000004">
      <c r="A33" s="128" t="s">
        <v>130</v>
      </c>
      <c r="B33" s="128" t="s">
        <v>137</v>
      </c>
      <c r="C33" s="165">
        <v>416072833.71411997</v>
      </c>
      <c r="D33" s="180">
        <v>11.6962678956892</v>
      </c>
      <c r="E33" s="180">
        <v>0</v>
      </c>
      <c r="F33" s="180">
        <v>10.995428384486299</v>
      </c>
      <c r="G33" s="180">
        <v>51.446466420125397</v>
      </c>
      <c r="H33" s="182">
        <f t="shared" si="0"/>
        <v>11.6962678956892</v>
      </c>
    </row>
    <row r="34" spans="1:8" x14ac:dyDescent="0.55000000000000004">
      <c r="A34" s="128" t="s">
        <v>130</v>
      </c>
      <c r="B34" s="128" t="s">
        <v>138</v>
      </c>
      <c r="C34" s="165">
        <v>798843037.76842594</v>
      </c>
      <c r="D34" s="180">
        <v>12.344767921926699</v>
      </c>
      <c r="E34" s="180">
        <v>0.51976173230927503</v>
      </c>
      <c r="F34" s="180">
        <v>11.246620645286701</v>
      </c>
      <c r="G34" s="180">
        <v>59.402426392574803</v>
      </c>
      <c r="H34" s="182">
        <f t="shared" si="0"/>
        <v>12.864529654235975</v>
      </c>
    </row>
    <row r="35" spans="1:8" x14ac:dyDescent="0.55000000000000004">
      <c r="A35" s="128" t="s">
        <v>130</v>
      </c>
      <c r="B35" s="128" t="s">
        <v>139</v>
      </c>
      <c r="C35" s="165">
        <v>669507085.62704599</v>
      </c>
      <c r="D35" s="180">
        <v>10.2242461056283</v>
      </c>
      <c r="E35" s="180">
        <v>0</v>
      </c>
      <c r="F35" s="180">
        <v>10.874485468250301</v>
      </c>
      <c r="G35" s="180">
        <v>54.347194814386199</v>
      </c>
      <c r="H35" s="182">
        <f t="shared" si="0"/>
        <v>10.2242461056283</v>
      </c>
    </row>
    <row r="36" spans="1:8" x14ac:dyDescent="0.55000000000000004">
      <c r="A36" s="128" t="s">
        <v>130</v>
      </c>
      <c r="B36" s="128" t="s">
        <v>140</v>
      </c>
      <c r="C36" s="165">
        <v>421140589.774885</v>
      </c>
      <c r="D36" s="180">
        <v>11.414555821132801</v>
      </c>
      <c r="E36" s="180">
        <v>0</v>
      </c>
      <c r="F36" s="180">
        <v>17.625089180610701</v>
      </c>
      <c r="G36" s="180">
        <v>60.1866589181083</v>
      </c>
      <c r="H36" s="182">
        <f t="shared" si="0"/>
        <v>11.414555821132801</v>
      </c>
    </row>
    <row r="37" spans="1:8" x14ac:dyDescent="0.55000000000000004">
      <c r="A37" s="128" t="s">
        <v>130</v>
      </c>
      <c r="B37" s="128" t="s">
        <v>141</v>
      </c>
      <c r="C37" s="165">
        <v>265488697.392315</v>
      </c>
      <c r="D37" s="180">
        <v>19.102250387163402</v>
      </c>
      <c r="E37" s="180">
        <v>0</v>
      </c>
      <c r="F37" s="180">
        <v>10.9835244862332</v>
      </c>
      <c r="G37" s="180">
        <v>57.6568221170876</v>
      </c>
      <c r="H37" s="182">
        <f t="shared" si="0"/>
        <v>19.102250387163402</v>
      </c>
    </row>
    <row r="38" spans="1:8" x14ac:dyDescent="0.55000000000000004">
      <c r="A38" s="128" t="s">
        <v>130</v>
      </c>
      <c r="B38" s="128" t="s">
        <v>142</v>
      </c>
      <c r="C38" s="165">
        <v>1165285678.87672</v>
      </c>
      <c r="D38" s="180">
        <v>11.1206709684414</v>
      </c>
      <c r="E38" s="180">
        <v>0</v>
      </c>
      <c r="F38" s="180">
        <v>11.713475373672001</v>
      </c>
      <c r="G38" s="180">
        <v>49.681503173993399</v>
      </c>
      <c r="H38" s="182">
        <f t="shared" si="0"/>
        <v>11.1206709684414</v>
      </c>
    </row>
    <row r="39" spans="1:8" x14ac:dyDescent="0.55000000000000004">
      <c r="B39" s="173" t="s">
        <v>143</v>
      </c>
      <c r="C39" s="16"/>
      <c r="D39" s="174">
        <f>SUMPRODUCT($C$27:$C$38,D27:D38)/SUM($C$27:$C$38)</f>
        <v>13.918972155632009</v>
      </c>
      <c r="E39" s="174">
        <f>SUMPRODUCT($C$27:$C$38,E27:E38)/SUM($C$27:$C$38)</f>
        <v>0.20434555990476716</v>
      </c>
      <c r="F39" s="174">
        <f>SUMPRODUCT($C$27:$C$38,F27:F38)/SUM($C$27:$C$38)</f>
        <v>11.712865503979547</v>
      </c>
      <c r="G39" s="174">
        <f>SUMPRODUCT($C$27:$C$38,G27:G38)/SUM($C$27:$C$38)</f>
        <v>55.088706918565251</v>
      </c>
      <c r="H39" s="174">
        <f>SUMPRODUCT($C$27:$C$38,H27:H38)/SUM($C$27:$C$38)</f>
        <v>14.123317715536777</v>
      </c>
    </row>
    <row r="40" spans="1:8" x14ac:dyDescent="0.55000000000000004">
      <c r="B40" s="16"/>
      <c r="C40" s="16"/>
      <c r="D40" s="194">
        <f>D39/MJ2mmBTU</f>
        <v>14685.292998786663</v>
      </c>
      <c r="E40" s="194">
        <f>E39/MJ2mmBTU</f>
        <v>215.59597839905004</v>
      </c>
      <c r="F40" s="194">
        <f>F39/MJ2mmBTU</f>
        <v>12357.727270236819</v>
      </c>
      <c r="G40" s="194">
        <f>G39/MJ2mmBTU</f>
        <v>58121.662503367748</v>
      </c>
      <c r="H40" s="194">
        <f>H39/MJ2mmBTU</f>
        <v>14900.888977185712</v>
      </c>
    </row>
    <row r="41" spans="1:8" x14ac:dyDescent="0.55000000000000004">
      <c r="A41" s="571" t="s">
        <v>107</v>
      </c>
      <c r="B41" s="572" t="s">
        <v>108</v>
      </c>
      <c r="C41" s="177" t="s">
        <v>109</v>
      </c>
      <c r="D41" s="178" t="s">
        <v>110</v>
      </c>
      <c r="E41" s="179" t="s">
        <v>111</v>
      </c>
      <c r="F41" s="179" t="s">
        <v>112</v>
      </c>
      <c r="G41" s="179" t="s">
        <v>113</v>
      </c>
      <c r="H41" s="179" t="s">
        <v>129</v>
      </c>
    </row>
    <row r="42" spans="1:8" x14ac:dyDescent="0.55000000000000004">
      <c r="A42" s="571"/>
      <c r="B42" s="572"/>
      <c r="C42" s="178" t="s">
        <v>114</v>
      </c>
      <c r="D42" s="573" t="s">
        <v>115</v>
      </c>
      <c r="E42" s="574"/>
      <c r="F42" s="574"/>
      <c r="G42" s="575"/>
      <c r="H42" s="128"/>
    </row>
    <row r="43" spans="1:8" x14ac:dyDescent="0.55000000000000004">
      <c r="A43" s="128" t="s">
        <v>144</v>
      </c>
      <c r="B43" s="128" t="s">
        <v>145</v>
      </c>
      <c r="C43" s="165">
        <v>3619670185.8954701</v>
      </c>
      <c r="D43" s="180">
        <v>10.632856226093899</v>
      </c>
      <c r="E43" s="180">
        <v>0.74873732396200898</v>
      </c>
      <c r="F43" s="180">
        <v>14.230241543933101</v>
      </c>
      <c r="G43" s="180">
        <v>60.291383299195502</v>
      </c>
      <c r="H43" s="182">
        <f>D43+E43</f>
        <v>11.381593550055909</v>
      </c>
    </row>
    <row r="44" spans="1:8" x14ac:dyDescent="0.55000000000000004">
      <c r="B44" s="16"/>
      <c r="C44" s="16"/>
      <c r="D44" s="174">
        <f>D43</f>
        <v>10.632856226093899</v>
      </c>
      <c r="E44" s="174">
        <f>E43</f>
        <v>0.74873732396200898</v>
      </c>
      <c r="F44" s="174">
        <f>F43</f>
        <v>14.230241543933101</v>
      </c>
      <c r="G44" s="174">
        <f>G43</f>
        <v>60.291383299195502</v>
      </c>
      <c r="H44" s="174">
        <f>H43</f>
        <v>11.381593550055909</v>
      </c>
    </row>
    <row r="45" spans="1:8" x14ac:dyDescent="0.55000000000000004">
      <c r="B45" s="16"/>
      <c r="C45" s="16"/>
      <c r="D45" s="194">
        <f>D44/MJ2mmBTU</f>
        <v>11218.257163549291</v>
      </c>
      <c r="E45" s="194">
        <f>E44/MJ2mmBTU</f>
        <v>789.95969375946277</v>
      </c>
      <c r="F45" s="194">
        <f>F44/MJ2mmBTU</f>
        <v>15013.69958783965</v>
      </c>
      <c r="G45" s="194">
        <f>G44/MJ2mmBTU</f>
        <v>63610.776654408517</v>
      </c>
      <c r="H45" s="194">
        <f>H44/MJ2mmBTU</f>
        <v>12008.216857308755</v>
      </c>
    </row>
  </sheetData>
  <mergeCells count="12">
    <mergeCell ref="A5:A6"/>
    <mergeCell ref="B5:B6"/>
    <mergeCell ref="D6:G6"/>
    <mergeCell ref="A15:A16"/>
    <mergeCell ref="B15:B16"/>
    <mergeCell ref="D16:G16"/>
    <mergeCell ref="A25:A26"/>
    <mergeCell ref="B25:B26"/>
    <mergeCell ref="D26:G26"/>
    <mergeCell ref="A41:A42"/>
    <mergeCell ref="B41:B42"/>
    <mergeCell ref="D42:G42"/>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185F6-4E87-406E-A713-122D42DEF191}">
  <sheetPr>
    <tabColor theme="8"/>
  </sheetPr>
  <dimension ref="A1:C44"/>
  <sheetViews>
    <sheetView topLeftCell="A10" zoomScale="65" zoomScaleNormal="100" workbookViewId="0">
      <selection activeCell="B46" sqref="B46"/>
    </sheetView>
  </sheetViews>
  <sheetFormatPr defaultColWidth="8.83984375" defaultRowHeight="14.4" x14ac:dyDescent="0.55000000000000004"/>
  <cols>
    <col min="1" max="1" width="25.15625" bestFit="1" customWidth="1"/>
    <col min="2" max="2" width="22.15625" bestFit="1" customWidth="1"/>
    <col min="3" max="3" width="19.68359375" bestFit="1" customWidth="1"/>
  </cols>
  <sheetData>
    <row r="1" spans="1:3" x14ac:dyDescent="0.55000000000000004">
      <c r="A1" s="227" t="s">
        <v>147</v>
      </c>
      <c r="B1" s="227"/>
      <c r="C1" s="227"/>
    </row>
    <row r="2" spans="1:3" x14ac:dyDescent="0.55000000000000004">
      <c r="A2" s="257" t="s">
        <v>148</v>
      </c>
      <c r="B2" s="227"/>
      <c r="C2" s="227"/>
    </row>
    <row r="3" spans="1:3" x14ac:dyDescent="0.55000000000000004">
      <c r="A3" t="s">
        <v>149</v>
      </c>
      <c r="B3" s="197">
        <f>42*134/1000</f>
        <v>5.6280000000000001</v>
      </c>
      <c r="C3" t="s">
        <v>150</v>
      </c>
    </row>
    <row r="5" spans="1:3" x14ac:dyDescent="0.55000000000000004">
      <c r="B5" t="s">
        <v>151</v>
      </c>
    </row>
    <row r="6" spans="1:3" x14ac:dyDescent="0.55000000000000004">
      <c r="A6" t="s">
        <v>152</v>
      </c>
      <c r="B6" s="166">
        <v>24.1</v>
      </c>
      <c r="C6" t="s">
        <v>153</v>
      </c>
    </row>
    <row r="7" spans="1:3" x14ac:dyDescent="0.55000000000000004">
      <c r="B7" s="198">
        <f>B6/B3</f>
        <v>4.2821606254442077</v>
      </c>
      <c r="C7" t="s">
        <v>154</v>
      </c>
    </row>
    <row r="8" spans="1:3" x14ac:dyDescent="0.55000000000000004">
      <c r="B8" s="199">
        <f>B7/MJ2mmBTU</f>
        <v>4517.9186185145709</v>
      </c>
      <c r="C8" t="s">
        <v>155</v>
      </c>
    </row>
    <row r="9" spans="1:3" x14ac:dyDescent="0.55000000000000004">
      <c r="A9" t="s">
        <v>156</v>
      </c>
      <c r="B9" s="166">
        <v>34.590000000000003</v>
      </c>
      <c r="C9" t="s">
        <v>153</v>
      </c>
    </row>
    <row r="10" spans="1:3" x14ac:dyDescent="0.55000000000000004">
      <c r="B10" s="198">
        <f>B9/B3</f>
        <v>6.1460554371002134</v>
      </c>
      <c r="C10" t="s">
        <v>157</v>
      </c>
    </row>
    <row r="11" spans="1:3" x14ac:dyDescent="0.55000000000000004">
      <c r="B11" s="199">
        <f>B10/MJ2mmBTU</f>
        <v>6484.4317433368878</v>
      </c>
      <c r="C11" t="s">
        <v>155</v>
      </c>
    </row>
    <row r="34" spans="1:2" x14ac:dyDescent="0.55000000000000004">
      <c r="A34" s="227" t="s">
        <v>158</v>
      </c>
      <c r="B34" s="227"/>
    </row>
    <row r="39" spans="1:2" ht="28.8" x14ac:dyDescent="0.55000000000000004">
      <c r="A39" s="222" t="s">
        <v>159</v>
      </c>
      <c r="B39" s="223" t="s">
        <v>160</v>
      </c>
    </row>
    <row r="40" spans="1:2" x14ac:dyDescent="0.55000000000000004">
      <c r="A40" s="224" t="s">
        <v>161</v>
      </c>
      <c r="B40" s="225">
        <v>6.4000000000000003E-3</v>
      </c>
    </row>
    <row r="41" spans="1:2" x14ac:dyDescent="0.55000000000000004">
      <c r="A41" s="224" t="s">
        <v>162</v>
      </c>
      <c r="B41" s="225">
        <v>2.8E-3</v>
      </c>
    </row>
    <row r="42" spans="1:2" x14ac:dyDescent="0.55000000000000004">
      <c r="A42" s="224" t="s">
        <v>163</v>
      </c>
      <c r="B42" s="225">
        <v>1.2999999999999999E-3</v>
      </c>
    </row>
    <row r="43" spans="1:2" x14ac:dyDescent="0.55000000000000004">
      <c r="A43" s="224" t="s">
        <v>164</v>
      </c>
      <c r="B43" s="225">
        <v>2.5000000000000001E-3</v>
      </c>
    </row>
    <row r="44" spans="1:2" x14ac:dyDescent="0.55000000000000004">
      <c r="A44" s="224" t="s">
        <v>165</v>
      </c>
      <c r="B44" s="226">
        <v>1.2999999999999999E-2</v>
      </c>
    </row>
  </sheetData>
  <hyperlinks>
    <hyperlink ref="A2" r:id="rId1" xr:uid="{2BB80FC3-2B38-4A8D-BE65-9CC976A244B0}"/>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131F-8239-407D-A23E-997020A86820}">
  <sheetPr>
    <tabColor theme="8"/>
  </sheetPr>
  <dimension ref="K1:N5"/>
  <sheetViews>
    <sheetView tabSelected="1" workbookViewId="0">
      <selection activeCell="H23" sqref="H23"/>
    </sheetView>
  </sheetViews>
  <sheetFormatPr defaultColWidth="8.83984375" defaultRowHeight="14.4" x14ac:dyDescent="0.55000000000000004"/>
  <cols>
    <col min="18" max="18" width="16.26171875" bestFit="1" customWidth="1"/>
  </cols>
  <sheetData>
    <row r="1" spans="11:14" x14ac:dyDescent="0.55000000000000004">
      <c r="K1" s="244" t="s">
        <v>258</v>
      </c>
    </row>
    <row r="3" spans="11:14" x14ac:dyDescent="0.55000000000000004">
      <c r="K3" s="128" t="s">
        <v>156</v>
      </c>
      <c r="L3" s="128">
        <v>2086</v>
      </c>
      <c r="M3" s="128" t="s">
        <v>259</v>
      </c>
      <c r="N3" s="255">
        <f>L3/$L$5</f>
        <v>0.57992771754239647</v>
      </c>
    </row>
    <row r="4" spans="11:14" x14ac:dyDescent="0.55000000000000004">
      <c r="K4" s="128" t="s">
        <v>152</v>
      </c>
      <c r="L4" s="128">
        <f>499+1012</f>
        <v>1511</v>
      </c>
      <c r="M4" s="128" t="s">
        <v>259</v>
      </c>
      <c r="N4" s="255">
        <f>L4/$L$5</f>
        <v>0.42007228245760359</v>
      </c>
    </row>
    <row r="5" spans="11:14" x14ac:dyDescent="0.55000000000000004">
      <c r="K5" t="s">
        <v>96</v>
      </c>
      <c r="L5" s="201">
        <f>L4+L3</f>
        <v>3597</v>
      </c>
    </row>
  </sheetData>
  <hyperlinks>
    <hyperlink ref="K1" r:id="rId1" display="https://energy.hawaii.gov/what-we-do/energy-landscape/non-renewable-energy-sources/" xr:uid="{7C6FF85C-3B96-4E1E-9A43-C18579D3B912}"/>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379C-8DCC-488E-B721-C57A466D9CE4}">
  <sheetPr>
    <tabColor rgb="FF00B0F0"/>
  </sheetPr>
  <dimension ref="A1:K79"/>
  <sheetViews>
    <sheetView topLeftCell="A46" zoomScale="85" zoomScaleNormal="85" workbookViewId="0">
      <selection activeCell="C67" activeCellId="1" sqref="C64 C67:C69"/>
    </sheetView>
  </sheetViews>
  <sheetFormatPr defaultColWidth="8.83984375" defaultRowHeight="14.4" x14ac:dyDescent="0.55000000000000004"/>
  <cols>
    <col min="1" max="1" width="43.41796875" style="207" bestFit="1" customWidth="1"/>
    <col min="2" max="2" width="29.68359375" style="207" customWidth="1"/>
    <col min="3" max="3" width="20.41796875" style="408" customWidth="1"/>
    <col min="4" max="4" width="15.41796875" style="373" customWidth="1"/>
    <col min="5" max="5" width="22.26171875" style="373" customWidth="1"/>
    <col min="6" max="6" width="18.68359375" style="373" customWidth="1"/>
    <col min="7" max="7" width="15.41796875" style="373" customWidth="1"/>
    <col min="8" max="8" width="16.68359375" style="408" customWidth="1"/>
    <col min="9" max="9" width="16" style="373" customWidth="1"/>
    <col min="10" max="10" width="17" style="373" customWidth="1"/>
    <col min="11" max="11" width="66.41796875" style="207" customWidth="1"/>
    <col min="12" max="16384" width="8.83984375" style="207"/>
  </cols>
  <sheetData>
    <row r="1" spans="1:11" ht="18.600000000000001" thickBot="1" x14ac:dyDescent="0.75">
      <c r="A1" s="358" t="s">
        <v>21</v>
      </c>
      <c r="B1" s="358"/>
      <c r="C1" s="359"/>
      <c r="D1" s="360"/>
      <c r="E1" s="360"/>
      <c r="F1" s="360"/>
      <c r="G1" s="360"/>
      <c r="H1" s="359"/>
      <c r="I1" s="360"/>
      <c r="J1" s="360"/>
      <c r="K1" s="358"/>
    </row>
    <row r="2" spans="1:11" ht="18.600000000000001" thickBot="1" x14ac:dyDescent="0.75">
      <c r="A2" s="361" t="s">
        <v>22</v>
      </c>
      <c r="B2" s="362"/>
      <c r="C2" s="359"/>
      <c r="D2" s="360"/>
      <c r="E2" s="360"/>
      <c r="F2" s="360"/>
      <c r="G2" s="360"/>
      <c r="H2" s="359"/>
      <c r="I2" s="360"/>
      <c r="J2" s="360"/>
      <c r="K2" s="358"/>
    </row>
    <row r="3" spans="1:11" ht="18.899999999999999" thickTop="1" thickBot="1" x14ac:dyDescent="0.75">
      <c r="A3" s="363" t="s">
        <v>23</v>
      </c>
      <c r="B3" s="358"/>
      <c r="C3" s="359"/>
      <c r="D3" s="360"/>
      <c r="E3" s="360"/>
      <c r="F3" s="360"/>
      <c r="G3" s="360"/>
      <c r="H3" s="359"/>
      <c r="I3" s="360"/>
      <c r="J3" s="360"/>
      <c r="K3" s="358"/>
    </row>
    <row r="4" spans="1:11" ht="18.600000000000001" thickBot="1" x14ac:dyDescent="0.75">
      <c r="A4" s="364" t="s">
        <v>24</v>
      </c>
      <c r="B4" s="358"/>
      <c r="C4" s="359"/>
      <c r="D4" s="360"/>
      <c r="E4" s="360"/>
      <c r="F4" s="360"/>
      <c r="G4" s="360"/>
      <c r="H4" s="359"/>
      <c r="I4" s="360"/>
      <c r="J4" s="360"/>
      <c r="K4" s="358"/>
    </row>
    <row r="5" spans="1:11" ht="18.3" x14ac:dyDescent="0.7">
      <c r="A5" s="358"/>
      <c r="B5" s="358"/>
      <c r="C5" s="359"/>
      <c r="D5" s="360"/>
      <c r="E5" s="360"/>
      <c r="F5" s="360"/>
      <c r="G5" s="360"/>
      <c r="H5" s="359"/>
      <c r="I5" s="360"/>
      <c r="J5" s="360"/>
      <c r="K5" s="358"/>
    </row>
    <row r="6" spans="1:11" ht="46.15" customHeight="1" x14ac:dyDescent="0.55000000000000004">
      <c r="A6" s="365" t="s">
        <v>25</v>
      </c>
      <c r="B6" s="365"/>
      <c r="C6" s="366"/>
      <c r="D6" s="367"/>
      <c r="E6" s="367"/>
      <c r="F6" s="367"/>
      <c r="G6" s="367"/>
      <c r="H6" s="366"/>
      <c r="I6" s="367"/>
      <c r="J6" s="367"/>
      <c r="K6" s="365"/>
    </row>
    <row r="7" spans="1:11" ht="28.8" x14ac:dyDescent="0.55000000000000004">
      <c r="A7" s="368" t="s">
        <v>26</v>
      </c>
      <c r="B7" s="369" t="s">
        <v>27</v>
      </c>
      <c r="C7" s="370" t="s">
        <v>28</v>
      </c>
      <c r="D7" s="371" t="s">
        <v>29</v>
      </c>
      <c r="E7" s="371" t="s">
        <v>30</v>
      </c>
      <c r="F7" s="371" t="s">
        <v>31</v>
      </c>
      <c r="G7" s="371" t="s">
        <v>32</v>
      </c>
      <c r="H7" s="372" t="s">
        <v>33</v>
      </c>
    </row>
    <row r="8" spans="1:11" x14ac:dyDescent="0.55000000000000004">
      <c r="A8" s="374" t="s">
        <v>34</v>
      </c>
      <c r="B8" s="375" t="s">
        <v>35</v>
      </c>
      <c r="C8" s="376">
        <f>'GREET 2023_100-yr'!C115</f>
        <v>7160.0309404908576</v>
      </c>
      <c r="D8" s="377">
        <f>'GREET 2023_100-yr'!C116</f>
        <v>1911.4330401548154</v>
      </c>
      <c r="E8" s="377">
        <f>'GREET 2023_100-yr'!C117</f>
        <v>5141.5219215438392</v>
      </c>
      <c r="F8" s="377">
        <f>'GREET 2023_100-yr'!D65/'GREET 2023_100-yr'!$C$27*10^6</f>
        <v>85456.231453950444</v>
      </c>
      <c r="G8" s="377">
        <f>SUM(C8:F8)</f>
        <v>99669.217356139954</v>
      </c>
      <c r="H8" s="379"/>
    </row>
    <row r="9" spans="1:11" x14ac:dyDescent="0.55000000000000004">
      <c r="A9" s="380" t="s">
        <v>23</v>
      </c>
      <c r="B9" s="381" t="s">
        <v>35</v>
      </c>
      <c r="C9" s="382">
        <f>SUMPRODUCT(C10:C11,$H$10:$H$11)</f>
        <v>15192.002580684411</v>
      </c>
      <c r="D9" s="382">
        <f>SUMPRODUCT(D10:D11,$H$10:$H$11)</f>
        <v>2167.9922273469101</v>
      </c>
      <c r="E9" s="382">
        <f>SUMPRODUCT(E10:E11,$H$10:$H$11)</f>
        <v>7182.6580235439051</v>
      </c>
      <c r="F9" s="382">
        <f>SUMPRODUCT(F10:F11,$H$10:$H$11)</f>
        <v>76293.395840855897</v>
      </c>
      <c r="G9" s="395">
        <f t="shared" ref="G9:G17" si="0">SUM(C9:F9)</f>
        <v>100836.04867243112</v>
      </c>
      <c r="H9" s="384"/>
      <c r="K9" s="207" t="s">
        <v>459</v>
      </c>
    </row>
    <row r="10" spans="1:11" x14ac:dyDescent="0.55000000000000004">
      <c r="A10" s="385" t="s">
        <v>36</v>
      </c>
      <c r="B10" s="207" t="s">
        <v>35</v>
      </c>
      <c r="C10" s="386">
        <f>'RMI_OCI+_100-yr'!D14</f>
        <v>16634.910264968345</v>
      </c>
      <c r="D10" s="388">
        <f>'RMI_OCI+_100-yr'!F14</f>
        <v>2254.8114313302535</v>
      </c>
      <c r="E10" s="388">
        <f>'RMI_OCI+_100-yr'!E14</f>
        <v>6564.899796376958</v>
      </c>
      <c r="F10" s="388">
        <f>'RMI_OCI+_100-yr'!G14</f>
        <v>78227.164878471929</v>
      </c>
      <c r="G10" s="388">
        <f t="shared" si="0"/>
        <v>103681.78637114749</v>
      </c>
      <c r="H10" s="389">
        <f>'HSEO_Crude Import'!N3</f>
        <v>0.57992771754239647</v>
      </c>
    </row>
    <row r="11" spans="1:11" x14ac:dyDescent="0.55000000000000004">
      <c r="A11" s="390" t="s">
        <v>37</v>
      </c>
      <c r="B11" s="461" t="s">
        <v>35</v>
      </c>
      <c r="C11" s="392">
        <f>'RMI_OCI+_100-yr'!D23</f>
        <v>13200.006929184554</v>
      </c>
      <c r="D11" s="394">
        <f>'RMI_OCI+_100-yr'!F23</f>
        <v>2048.1346101998183</v>
      </c>
      <c r="E11" s="394">
        <f>'RMI_OCI+_100-yr'!E23</f>
        <v>8035.499626370015</v>
      </c>
      <c r="F11" s="394">
        <f>'RMI_OCI+_100-yr'!G23</f>
        <v>73623.745137701</v>
      </c>
      <c r="G11" s="394">
        <f t="shared" si="0"/>
        <v>96907.386303455394</v>
      </c>
      <c r="H11" s="389">
        <f>'HSEO_Crude Import'!N4</f>
        <v>0.42007228245760359</v>
      </c>
    </row>
    <row r="12" spans="1:11" x14ac:dyDescent="0.55000000000000004">
      <c r="A12" s="380" t="s">
        <v>48</v>
      </c>
      <c r="B12" s="381" t="s">
        <v>35</v>
      </c>
      <c r="C12" s="382">
        <f>SUMPRODUCT(C13:C14,$H$13:$H$14)</f>
        <v>15192.002580684411</v>
      </c>
      <c r="D12" s="395">
        <f>SUMPRODUCT(D13:D14,$H$13:$H$14)</f>
        <v>2012.0914399212168</v>
      </c>
      <c r="E12" s="395">
        <f>SUMPRODUCT(E13:E14,$H$13:$H$14)</f>
        <v>5141.5219215438392</v>
      </c>
      <c r="F12" s="395">
        <f>SUMPRODUCT(F13:F14,$H$13:$H$14)</f>
        <v>85456.231453950444</v>
      </c>
      <c r="G12" s="395">
        <f t="shared" si="0"/>
        <v>107801.84739609991</v>
      </c>
      <c r="H12" s="384"/>
      <c r="K12" s="207" t="s">
        <v>459</v>
      </c>
    </row>
    <row r="13" spans="1:11" x14ac:dyDescent="0.55000000000000004">
      <c r="A13" s="385" t="s">
        <v>36</v>
      </c>
      <c r="B13" s="207" t="s">
        <v>35</v>
      </c>
      <c r="C13" s="386">
        <f>'RMI_OCI+_100-yr'!D14</f>
        <v>16634.910264968345</v>
      </c>
      <c r="D13" s="397">
        <f>'GREET 2023_100-yr'!F332</f>
        <v>2291.6728383686523</v>
      </c>
      <c r="E13" s="397">
        <f>$E$8</f>
        <v>5141.5219215438392</v>
      </c>
      <c r="F13" s="397">
        <f>$F$8</f>
        <v>85456.231453950444</v>
      </c>
      <c r="G13" s="397">
        <f t="shared" si="0"/>
        <v>109524.33647883128</v>
      </c>
      <c r="H13" s="389">
        <f>'HSEO_Crude Import'!N3</f>
        <v>0.57992771754239647</v>
      </c>
      <c r="K13" s="398" t="s">
        <v>458</v>
      </c>
    </row>
    <row r="14" spans="1:11" x14ac:dyDescent="0.55000000000000004">
      <c r="A14" s="390" t="s">
        <v>37</v>
      </c>
      <c r="B14" s="461" t="s">
        <v>35</v>
      </c>
      <c r="C14" s="392">
        <f>'RMI_OCI+_100-yr'!D23</f>
        <v>13200.006929184554</v>
      </c>
      <c r="D14" s="400">
        <f>'GREET 2023_100-yr'!F330</f>
        <v>1626.1173848839228</v>
      </c>
      <c r="E14" s="400">
        <f>$E$8</f>
        <v>5141.5219215438392</v>
      </c>
      <c r="F14" s="400">
        <f>$F$8</f>
        <v>85456.231453950444</v>
      </c>
      <c r="G14" s="400">
        <f t="shared" si="0"/>
        <v>105423.87768956277</v>
      </c>
      <c r="H14" s="389">
        <f>'HSEO_Crude Import'!N4</f>
        <v>0.42007228245760359</v>
      </c>
      <c r="K14" s="398" t="s">
        <v>458</v>
      </c>
    </row>
    <row r="15" spans="1:11" x14ac:dyDescent="0.55000000000000004">
      <c r="A15" s="401" t="s">
        <v>38</v>
      </c>
      <c r="B15" s="381" t="s">
        <v>35</v>
      </c>
      <c r="C15" s="382">
        <f>SUMPRODUCT(C16:C17,$H$16:$H$17)</f>
        <v>5658.354086509943</v>
      </c>
      <c r="D15" s="395">
        <f>SUMPRODUCT(D16:D17,$H$16:$H$17)</f>
        <v>2012.0914399212168</v>
      </c>
      <c r="E15" s="395">
        <f>SUMPRODUCT(E16:E17,$H$16:$H$17)</f>
        <v>5141.5219215438392</v>
      </c>
      <c r="F15" s="395">
        <f>SUMPRODUCT(F16:F17,$H$16:$H$17)</f>
        <v>85456.231453950444</v>
      </c>
      <c r="G15" s="395">
        <f>SUMPRODUCT(G16:G17,$H$16:$H$17)</f>
        <v>98268.19890192544</v>
      </c>
      <c r="H15" s="384"/>
      <c r="K15" s="207" t="s">
        <v>460</v>
      </c>
    </row>
    <row r="16" spans="1:11" x14ac:dyDescent="0.55000000000000004">
      <c r="A16" s="385" t="s">
        <v>36</v>
      </c>
      <c r="B16" s="207" t="s">
        <v>35</v>
      </c>
      <c r="C16" s="402">
        <f>NOIA_EPA!$B$11</f>
        <v>6484.4317433368878</v>
      </c>
      <c r="D16" s="397">
        <f>'GREET 2023_100-yr'!F332</f>
        <v>2291.6728383686523</v>
      </c>
      <c r="E16" s="397">
        <f>$E$8</f>
        <v>5141.5219215438392</v>
      </c>
      <c r="F16" s="397">
        <f>$F$8</f>
        <v>85456.231453950444</v>
      </c>
      <c r="G16" s="397">
        <f t="shared" si="0"/>
        <v>99373.857957199827</v>
      </c>
      <c r="H16" s="403">
        <f>'HSEO_Crude Import'!N3</f>
        <v>0.57992771754239647</v>
      </c>
    </row>
    <row r="17" spans="1:11" x14ac:dyDescent="0.55000000000000004">
      <c r="A17" s="390" t="s">
        <v>37</v>
      </c>
      <c r="B17" s="461" t="s">
        <v>35</v>
      </c>
      <c r="C17" s="404">
        <f>NOIA_EPA!$B$8</f>
        <v>4517.9186185145709</v>
      </c>
      <c r="D17" s="400">
        <f>'GREET 2023_100-yr'!F330</f>
        <v>1626.1173848839228</v>
      </c>
      <c r="E17" s="400">
        <f>$E$8</f>
        <v>5141.5219215438392</v>
      </c>
      <c r="F17" s="400">
        <f>$F$8</f>
        <v>85456.231453950444</v>
      </c>
      <c r="G17" s="400">
        <f t="shared" si="0"/>
        <v>96741.789378892776</v>
      </c>
      <c r="H17" s="405">
        <f>'HSEO_Crude Import'!N4</f>
        <v>0.42007228245760359</v>
      </c>
    </row>
    <row r="19" spans="1:11" ht="28.8" x14ac:dyDescent="0.55000000000000004">
      <c r="A19" s="368" t="s">
        <v>26</v>
      </c>
      <c r="B19" s="369" t="s">
        <v>27</v>
      </c>
      <c r="C19" s="370" t="s">
        <v>28</v>
      </c>
      <c r="D19" s="371" t="s">
        <v>29</v>
      </c>
      <c r="E19" s="371" t="s">
        <v>30</v>
      </c>
      <c r="F19" s="371" t="s">
        <v>31</v>
      </c>
      <c r="G19" s="371" t="s">
        <v>32</v>
      </c>
      <c r="H19" s="372" t="s">
        <v>39</v>
      </c>
      <c r="I19" s="406" t="s">
        <v>40</v>
      </c>
      <c r="K19" s="407" t="s">
        <v>41</v>
      </c>
    </row>
    <row r="20" spans="1:11" x14ac:dyDescent="0.55000000000000004">
      <c r="A20" s="374" t="s">
        <v>34</v>
      </c>
      <c r="B20" s="375" t="s">
        <v>42</v>
      </c>
      <c r="C20" s="409">
        <f t="shared" ref="C20:G29" si="1">C8/10^3</f>
        <v>7.1600309404908575</v>
      </c>
      <c r="D20" s="409">
        <f t="shared" si="1"/>
        <v>1.9114330401548154</v>
      </c>
      <c r="E20" s="409">
        <f t="shared" si="1"/>
        <v>5.1415219215438395</v>
      </c>
      <c r="F20" s="409">
        <f t="shared" si="1"/>
        <v>85.456231453950437</v>
      </c>
      <c r="G20" s="409">
        <f t="shared" si="1"/>
        <v>99.669217356139953</v>
      </c>
      <c r="H20" s="408" t="s">
        <v>43</v>
      </c>
      <c r="I20" s="373">
        <v>100</v>
      </c>
      <c r="K20" s="170" t="s">
        <v>44</v>
      </c>
    </row>
    <row r="21" spans="1:11" x14ac:dyDescent="0.55000000000000004">
      <c r="A21" s="380" t="s">
        <v>45</v>
      </c>
      <c r="B21" s="375" t="s">
        <v>42</v>
      </c>
      <c r="C21" s="409">
        <f t="shared" si="1"/>
        <v>15.192002580684411</v>
      </c>
      <c r="D21" s="409">
        <f t="shared" si="1"/>
        <v>2.1679922273469101</v>
      </c>
      <c r="E21" s="409">
        <f t="shared" si="1"/>
        <v>7.1826580235439055</v>
      </c>
      <c r="F21" s="409">
        <f t="shared" si="1"/>
        <v>76.293395840855894</v>
      </c>
      <c r="G21" s="409">
        <f t="shared" si="1"/>
        <v>100.83604867243112</v>
      </c>
      <c r="H21" s="408" t="s">
        <v>43</v>
      </c>
      <c r="I21" s="373">
        <v>100</v>
      </c>
      <c r="K21" s="547" t="s">
        <v>23</v>
      </c>
    </row>
    <row r="22" spans="1:11" ht="24.75" customHeight="1" x14ac:dyDescent="0.55000000000000004">
      <c r="A22" s="385" t="s">
        <v>46</v>
      </c>
      <c r="B22" s="375" t="s">
        <v>42</v>
      </c>
      <c r="C22" s="409">
        <f t="shared" si="1"/>
        <v>16.634910264968344</v>
      </c>
      <c r="D22" s="409">
        <f t="shared" si="1"/>
        <v>2.2548114313302534</v>
      </c>
      <c r="E22" s="409">
        <f t="shared" si="1"/>
        <v>6.5648997963769578</v>
      </c>
      <c r="F22" s="409">
        <f t="shared" si="1"/>
        <v>78.227164878471925</v>
      </c>
      <c r="G22" s="409">
        <f t="shared" si="1"/>
        <v>103.6817863711475</v>
      </c>
      <c r="H22" s="408" t="s">
        <v>43</v>
      </c>
      <c r="I22" s="373">
        <v>100</v>
      </c>
      <c r="K22" s="547"/>
    </row>
    <row r="23" spans="1:11" ht="29.25" customHeight="1" x14ac:dyDescent="0.55000000000000004">
      <c r="A23" s="390" t="s">
        <v>47</v>
      </c>
      <c r="B23" s="375" t="s">
        <v>42</v>
      </c>
      <c r="C23" s="409">
        <f t="shared" si="1"/>
        <v>13.200006929184553</v>
      </c>
      <c r="D23" s="409">
        <f t="shared" si="1"/>
        <v>2.0481346101998184</v>
      </c>
      <c r="E23" s="409">
        <f t="shared" si="1"/>
        <v>8.0354996263700151</v>
      </c>
      <c r="F23" s="409">
        <f t="shared" si="1"/>
        <v>73.623745137700993</v>
      </c>
      <c r="G23" s="409">
        <f t="shared" si="1"/>
        <v>96.907386303455397</v>
      </c>
      <c r="H23" s="408" t="s">
        <v>43</v>
      </c>
      <c r="I23" s="373">
        <v>100</v>
      </c>
      <c r="K23" s="547"/>
    </row>
    <row r="24" spans="1:11" ht="22.5" customHeight="1" x14ac:dyDescent="0.55000000000000004">
      <c r="A24" s="380" t="s">
        <v>48</v>
      </c>
      <c r="B24" s="375" t="s">
        <v>42</v>
      </c>
      <c r="C24" s="409">
        <f t="shared" si="1"/>
        <v>15.192002580684411</v>
      </c>
      <c r="D24" s="409">
        <f t="shared" si="1"/>
        <v>2.0120914399212166</v>
      </c>
      <c r="E24" s="409">
        <f t="shared" si="1"/>
        <v>5.1415219215438395</v>
      </c>
      <c r="F24" s="409">
        <f t="shared" si="1"/>
        <v>85.456231453950437</v>
      </c>
      <c r="G24" s="409">
        <f t="shared" si="1"/>
        <v>107.80184739609992</v>
      </c>
      <c r="H24" s="408" t="s">
        <v>43</v>
      </c>
      <c r="I24" s="373">
        <v>100</v>
      </c>
      <c r="K24" s="547" t="s">
        <v>461</v>
      </c>
    </row>
    <row r="25" spans="1:11" ht="24.75" customHeight="1" x14ac:dyDescent="0.55000000000000004">
      <c r="A25" s="385" t="s">
        <v>50</v>
      </c>
      <c r="B25" s="375" t="s">
        <v>42</v>
      </c>
      <c r="C25" s="409">
        <f t="shared" si="1"/>
        <v>16.634910264968344</v>
      </c>
      <c r="D25" s="409">
        <f t="shared" si="1"/>
        <v>2.2916728383686524</v>
      </c>
      <c r="E25" s="409">
        <f t="shared" si="1"/>
        <v>5.1415219215438395</v>
      </c>
      <c r="F25" s="409">
        <f t="shared" si="1"/>
        <v>85.456231453950437</v>
      </c>
      <c r="G25" s="409">
        <f t="shared" si="1"/>
        <v>109.52433647883127</v>
      </c>
      <c r="H25" s="408" t="s">
        <v>43</v>
      </c>
      <c r="I25" s="373">
        <v>100</v>
      </c>
      <c r="K25" s="547"/>
    </row>
    <row r="26" spans="1:11" ht="29.25" customHeight="1" x14ac:dyDescent="0.55000000000000004">
      <c r="A26" s="390" t="s">
        <v>51</v>
      </c>
      <c r="B26" s="375" t="s">
        <v>42</v>
      </c>
      <c r="C26" s="409">
        <f t="shared" si="1"/>
        <v>13.200006929184553</v>
      </c>
      <c r="D26" s="409">
        <f t="shared" si="1"/>
        <v>1.6261173848839228</v>
      </c>
      <c r="E26" s="409">
        <f t="shared" si="1"/>
        <v>5.1415219215438395</v>
      </c>
      <c r="F26" s="409">
        <f t="shared" si="1"/>
        <v>85.456231453950437</v>
      </c>
      <c r="G26" s="409">
        <f t="shared" si="1"/>
        <v>105.42387768956277</v>
      </c>
      <c r="H26" s="408" t="s">
        <v>43</v>
      </c>
      <c r="I26" s="373">
        <v>100</v>
      </c>
      <c r="K26" s="547"/>
    </row>
    <row r="27" spans="1:11" x14ac:dyDescent="0.55000000000000004">
      <c r="A27" s="401" t="s">
        <v>38</v>
      </c>
      <c r="B27" s="375" t="s">
        <v>42</v>
      </c>
      <c r="C27" s="409">
        <f t="shared" si="1"/>
        <v>5.6583540865099433</v>
      </c>
      <c r="D27" s="409">
        <f t="shared" si="1"/>
        <v>2.0120914399212166</v>
      </c>
      <c r="E27" s="409">
        <f t="shared" si="1"/>
        <v>5.1415219215438395</v>
      </c>
      <c r="F27" s="409">
        <f t="shared" si="1"/>
        <v>85.456231453950437</v>
      </c>
      <c r="G27" s="409">
        <f t="shared" si="1"/>
        <v>98.268198901925444</v>
      </c>
      <c r="H27" s="408" t="s">
        <v>43</v>
      </c>
      <c r="I27" s="373">
        <v>100</v>
      </c>
      <c r="K27" s="547" t="s">
        <v>460</v>
      </c>
    </row>
    <row r="28" spans="1:11" x14ac:dyDescent="0.55000000000000004">
      <c r="A28" s="385" t="s">
        <v>53</v>
      </c>
      <c r="B28" s="375" t="s">
        <v>42</v>
      </c>
      <c r="C28" s="409">
        <f t="shared" si="1"/>
        <v>6.4844317433368879</v>
      </c>
      <c r="D28" s="409">
        <f t="shared" si="1"/>
        <v>2.2916728383686524</v>
      </c>
      <c r="E28" s="409">
        <f t="shared" si="1"/>
        <v>5.1415219215438395</v>
      </c>
      <c r="F28" s="409">
        <f t="shared" si="1"/>
        <v>85.456231453950437</v>
      </c>
      <c r="G28" s="409">
        <f t="shared" si="1"/>
        <v>99.373857957199832</v>
      </c>
      <c r="H28" s="408" t="s">
        <v>43</v>
      </c>
      <c r="I28" s="373">
        <v>100</v>
      </c>
      <c r="K28" s="547"/>
    </row>
    <row r="29" spans="1:11" x14ac:dyDescent="0.55000000000000004">
      <c r="A29" s="390" t="s">
        <v>54</v>
      </c>
      <c r="B29" s="375" t="s">
        <v>42</v>
      </c>
      <c r="C29" s="409">
        <f t="shared" si="1"/>
        <v>4.517918618514571</v>
      </c>
      <c r="D29" s="409">
        <f t="shared" si="1"/>
        <v>1.6261173848839228</v>
      </c>
      <c r="E29" s="409">
        <f t="shared" si="1"/>
        <v>5.1415219215438395</v>
      </c>
      <c r="F29" s="409">
        <f t="shared" si="1"/>
        <v>85.456231453950437</v>
      </c>
      <c r="G29" s="409">
        <f t="shared" si="1"/>
        <v>96.741789378892776</v>
      </c>
      <c r="H29" s="408" t="s">
        <v>43</v>
      </c>
      <c r="I29" s="373">
        <v>100</v>
      </c>
      <c r="K29" s="547"/>
    </row>
    <row r="31" spans="1:11" x14ac:dyDescent="0.55000000000000004">
      <c r="A31" s="410" t="s">
        <v>55</v>
      </c>
      <c r="B31" s="411">
        <f>'GREET 2023_100-yr'!C27</f>
        <v>3276279.7405536184</v>
      </c>
      <c r="H31" s="373"/>
    </row>
    <row r="32" spans="1:11" ht="28.8" x14ac:dyDescent="0.55000000000000004">
      <c r="A32" s="368" t="s">
        <v>26</v>
      </c>
      <c r="B32" s="369" t="s">
        <v>27</v>
      </c>
      <c r="C32" s="370" t="s">
        <v>28</v>
      </c>
      <c r="D32" s="371" t="s">
        <v>29</v>
      </c>
      <c r="E32" s="371" t="s">
        <v>30</v>
      </c>
      <c r="F32" s="371" t="s">
        <v>31</v>
      </c>
      <c r="G32" s="412" t="s">
        <v>32</v>
      </c>
      <c r="H32" s="412" t="s">
        <v>40</v>
      </c>
    </row>
    <row r="33" spans="1:11" x14ac:dyDescent="0.55000000000000004">
      <c r="A33" s="374" t="s">
        <v>56</v>
      </c>
      <c r="B33" s="375" t="s">
        <v>57</v>
      </c>
      <c r="C33" s="285">
        <f t="shared" ref="C33:G42" si="2">C8*$B$31/10^6*g2kg</f>
        <v>23.458264312067271</v>
      </c>
      <c r="D33" s="285">
        <f t="shared" si="2"/>
        <v>6.262389344884034</v>
      </c>
      <c r="E33" s="285">
        <f t="shared" si="2"/>
        <v>16.845064107166394</v>
      </c>
      <c r="F33" s="285">
        <f t="shared" si="2"/>
        <v>279.97851981663871</v>
      </c>
      <c r="G33" s="285">
        <f t="shared" si="2"/>
        <v>326.54423758075643</v>
      </c>
      <c r="H33" s="373">
        <v>100</v>
      </c>
    </row>
    <row r="34" spans="1:11" x14ac:dyDescent="0.55000000000000004">
      <c r="A34" s="413" t="s">
        <v>23</v>
      </c>
      <c r="B34" s="375" t="s">
        <v>57</v>
      </c>
      <c r="C34" s="286">
        <f t="shared" si="2"/>
        <v>49.773250273534622</v>
      </c>
      <c r="D34" s="286">
        <f t="shared" si="2"/>
        <v>7.1029490121343954</v>
      </c>
      <c r="E34" s="286">
        <f t="shared" si="2"/>
        <v>23.532396965861789</v>
      </c>
      <c r="F34" s="286">
        <f t="shared" si="2"/>
        <v>249.95850713143389</v>
      </c>
      <c r="G34" s="286">
        <f t="shared" si="2"/>
        <v>330.36710338296467</v>
      </c>
      <c r="H34" s="373">
        <v>100</v>
      </c>
    </row>
    <row r="35" spans="1:11" x14ac:dyDescent="0.55000000000000004">
      <c r="A35" s="385" t="s">
        <v>36</v>
      </c>
      <c r="B35" s="375" t="s">
        <v>57</v>
      </c>
      <c r="C35" s="287">
        <f t="shared" si="2"/>
        <v>54.500619487043217</v>
      </c>
      <c r="D35" s="287">
        <f t="shared" si="2"/>
        <v>7.3873930112360169</v>
      </c>
      <c r="E35" s="287">
        <f t="shared" si="2"/>
        <v>21.508448201634405</v>
      </c>
      <c r="F35" s="287">
        <f t="shared" si="2"/>
        <v>256.29407545228514</v>
      </c>
      <c r="G35" s="287">
        <f t="shared" si="2"/>
        <v>339.69053615219877</v>
      </c>
      <c r="H35" s="373">
        <v>100</v>
      </c>
    </row>
    <row r="36" spans="1:11" x14ac:dyDescent="0.55000000000000004">
      <c r="A36" s="390" t="s">
        <v>37</v>
      </c>
      <c r="B36" s="375" t="s">
        <v>57</v>
      </c>
      <c r="C36" s="288">
        <f t="shared" si="2"/>
        <v>43.246915277254736</v>
      </c>
      <c r="D36" s="288">
        <f t="shared" si="2"/>
        <v>6.7102619293243482</v>
      </c>
      <c r="E36" s="288">
        <f t="shared" si="2"/>
        <v>26.326544631102252</v>
      </c>
      <c r="F36" s="288">
        <f t="shared" si="2"/>
        <v>241.21198461833276</v>
      </c>
      <c r="G36" s="288">
        <f t="shared" si="2"/>
        <v>317.49570645601409</v>
      </c>
      <c r="H36" s="373">
        <v>100</v>
      </c>
    </row>
    <row r="37" spans="1:11" x14ac:dyDescent="0.55000000000000004">
      <c r="A37" s="380" t="s">
        <v>48</v>
      </c>
      <c r="B37" s="375" t="s">
        <v>57</v>
      </c>
      <c r="C37" s="286">
        <f t="shared" si="2"/>
        <v>49.773250273534622</v>
      </c>
      <c r="D37" s="286">
        <f t="shared" si="2"/>
        <v>6.5921744207552404</v>
      </c>
      <c r="E37" s="286">
        <f t="shared" si="2"/>
        <v>16.845064107166394</v>
      </c>
      <c r="F37" s="286">
        <f t="shared" si="2"/>
        <v>279.97851981663871</v>
      </c>
      <c r="G37" s="286">
        <f t="shared" si="2"/>
        <v>353.18900861809499</v>
      </c>
      <c r="H37" s="373">
        <v>100</v>
      </c>
    </row>
    <row r="38" spans="1:11" x14ac:dyDescent="0.55000000000000004">
      <c r="A38" s="385" t="s">
        <v>36</v>
      </c>
      <c r="B38" s="375" t="s">
        <v>57</v>
      </c>
      <c r="C38" s="289">
        <f t="shared" si="2"/>
        <v>54.500619487043217</v>
      </c>
      <c r="D38" s="289">
        <f t="shared" si="2"/>
        <v>7.5081612923242229</v>
      </c>
      <c r="E38" s="289">
        <f t="shared" si="2"/>
        <v>16.845064107166394</v>
      </c>
      <c r="F38" s="289">
        <f t="shared" si="2"/>
        <v>279.97851981663871</v>
      </c>
      <c r="G38" s="289">
        <f t="shared" si="2"/>
        <v>358.83236470317252</v>
      </c>
      <c r="H38" s="373">
        <v>100</v>
      </c>
    </row>
    <row r="39" spans="1:11" x14ac:dyDescent="0.55000000000000004">
      <c r="A39" s="390" t="s">
        <v>37</v>
      </c>
      <c r="B39" s="375" t="s">
        <v>57</v>
      </c>
      <c r="C39" s="290">
        <f t="shared" si="2"/>
        <v>43.246915277254736</v>
      </c>
      <c r="D39" s="290">
        <f t="shared" si="2"/>
        <v>5.3276154438572281</v>
      </c>
      <c r="E39" s="290">
        <f t="shared" si="2"/>
        <v>16.845064107166394</v>
      </c>
      <c r="F39" s="290">
        <f t="shared" si="2"/>
        <v>279.97851981663871</v>
      </c>
      <c r="G39" s="290">
        <f t="shared" si="2"/>
        <v>345.39811464491714</v>
      </c>
      <c r="H39" s="373">
        <v>100</v>
      </c>
    </row>
    <row r="40" spans="1:11" x14ac:dyDescent="0.55000000000000004">
      <c r="A40" s="401" t="s">
        <v>38</v>
      </c>
      <c r="B40" s="375" t="s">
        <v>57</v>
      </c>
      <c r="C40" s="286">
        <f t="shared" si="2"/>
        <v>18.538350858511301</v>
      </c>
      <c r="D40" s="286">
        <f t="shared" si="2"/>
        <v>6.5921744207552404</v>
      </c>
      <c r="E40" s="286">
        <f t="shared" si="2"/>
        <v>16.845064107166394</v>
      </c>
      <c r="F40" s="286">
        <f t="shared" si="2"/>
        <v>279.97851981663871</v>
      </c>
      <c r="G40" s="286">
        <f t="shared" si="2"/>
        <v>321.95410920307171</v>
      </c>
      <c r="H40" s="373">
        <v>100</v>
      </c>
    </row>
    <row r="41" spans="1:11" x14ac:dyDescent="0.55000000000000004">
      <c r="A41" s="385" t="s">
        <v>36</v>
      </c>
      <c r="B41" s="375" t="s">
        <v>57</v>
      </c>
      <c r="C41" s="289">
        <f t="shared" si="2"/>
        <v>21.244812349697426</v>
      </c>
      <c r="D41" s="289">
        <f t="shared" si="2"/>
        <v>7.5081612923242229</v>
      </c>
      <c r="E41" s="289">
        <f t="shared" si="2"/>
        <v>16.845064107166394</v>
      </c>
      <c r="F41" s="289">
        <f t="shared" si="2"/>
        <v>279.97851981663871</v>
      </c>
      <c r="G41" s="289">
        <f t="shared" si="2"/>
        <v>325.57655756582682</v>
      </c>
      <c r="H41" s="373">
        <v>100</v>
      </c>
    </row>
    <row r="42" spans="1:11" x14ac:dyDescent="0.55000000000000004">
      <c r="A42" s="390" t="s">
        <v>37</v>
      </c>
      <c r="B42" s="375" t="s">
        <v>57</v>
      </c>
      <c r="C42" s="290">
        <f t="shared" si="2"/>
        <v>14.801965239309281</v>
      </c>
      <c r="D42" s="290">
        <f t="shared" si="2"/>
        <v>5.3276154438572281</v>
      </c>
      <c r="E42" s="290">
        <f t="shared" si="2"/>
        <v>16.845064107166394</v>
      </c>
      <c r="F42" s="290">
        <f t="shared" si="2"/>
        <v>279.97851981663871</v>
      </c>
      <c r="G42" s="290">
        <f t="shared" si="2"/>
        <v>316.9531646069716</v>
      </c>
      <c r="H42" s="373">
        <v>100</v>
      </c>
    </row>
    <row r="43" spans="1:11" x14ac:dyDescent="0.55000000000000004">
      <c r="A43" s="414"/>
      <c r="B43" s="10"/>
      <c r="C43" s="373"/>
      <c r="H43" s="373"/>
    </row>
    <row r="45" spans="1:11" ht="18" customHeight="1" x14ac:dyDescent="0.55000000000000004">
      <c r="A45" s="365" t="s">
        <v>59</v>
      </c>
      <c r="B45" s="365"/>
      <c r="C45" s="366"/>
      <c r="D45" s="367"/>
      <c r="E45" s="367"/>
      <c r="F45" s="367"/>
      <c r="G45" s="367"/>
      <c r="H45" s="366"/>
      <c r="I45" s="367"/>
      <c r="J45" s="367"/>
      <c r="K45" s="365"/>
    </row>
    <row r="47" spans="1:11" s="420" customFormat="1" ht="28.8" x14ac:dyDescent="0.55000000000000004">
      <c r="A47" s="415" t="s">
        <v>26</v>
      </c>
      <c r="B47" s="416" t="s">
        <v>27</v>
      </c>
      <c r="C47" s="417" t="s">
        <v>60</v>
      </c>
      <c r="D47" s="417" t="s">
        <v>61</v>
      </c>
      <c r="E47" s="417" t="s">
        <v>62</v>
      </c>
      <c r="F47" s="417" t="s">
        <v>63</v>
      </c>
      <c r="G47" s="417" t="s">
        <v>64</v>
      </c>
      <c r="H47" s="417" t="s">
        <v>65</v>
      </c>
      <c r="I47" s="417" t="s">
        <v>31</v>
      </c>
      <c r="J47" s="418" t="s">
        <v>32</v>
      </c>
      <c r="K47" s="419" t="s">
        <v>41</v>
      </c>
    </row>
    <row r="48" spans="1:11" x14ac:dyDescent="0.55000000000000004">
      <c r="A48" s="413" t="s">
        <v>34</v>
      </c>
      <c r="B48" s="381" t="s">
        <v>35</v>
      </c>
      <c r="C48" s="421">
        <f>SUM('GREET 2023_100-yr'!C171:C172)</f>
        <v>9543.9452881464367</v>
      </c>
      <c r="D48" s="422">
        <f>'GREET 2023_100-yr'!C173</f>
        <v>7521.2039469757083</v>
      </c>
      <c r="E48" s="422">
        <f>'GREET 2023_100-yr'!C174</f>
        <v>2461.6343539934132</v>
      </c>
      <c r="F48" s="422">
        <f>'GREET 2023_100-yr'!C175</f>
        <v>650.54121133520425</v>
      </c>
      <c r="G48" s="422">
        <f>'GREET 2023_100-yr'!C176</f>
        <v>1231.6718887209317</v>
      </c>
      <c r="H48" s="421">
        <f>'GREET 2023_100-yr'!C177</f>
        <v>366.55886184282713</v>
      </c>
      <c r="I48" s="422">
        <f>'GREET 2023_100-yr'!S87/'GREET 2023_100-yr'!F30*10^6</f>
        <v>54247.989055425627</v>
      </c>
      <c r="J48" s="423">
        <f>SUM(C48:I48)</f>
        <v>76023.544606440148</v>
      </c>
      <c r="K48" s="424" t="s">
        <v>66</v>
      </c>
    </row>
    <row r="49" spans="1:11" x14ac:dyDescent="0.55000000000000004">
      <c r="A49" s="413" t="s">
        <v>67</v>
      </c>
      <c r="B49" s="381" t="s">
        <v>35</v>
      </c>
      <c r="C49" s="425">
        <f>'RMI_OCI+_100-yr'!H40</f>
        <v>8459.4663041028798</v>
      </c>
      <c r="D49" s="426" t="s">
        <v>68</v>
      </c>
      <c r="E49" s="426">
        <f>'RMI_OCI+_100-yr'!F40</f>
        <v>9970.2163664018408</v>
      </c>
      <c r="F49" s="426" t="s">
        <v>68</v>
      </c>
      <c r="G49" s="426" t="s">
        <v>68</v>
      </c>
      <c r="H49" s="426" t="s">
        <v>68</v>
      </c>
      <c r="I49" s="426">
        <f>'RMI_OCI+_100-yr'!G40</f>
        <v>54074.631540367714</v>
      </c>
      <c r="J49" s="427">
        <f>SUM(C49,E49,I49)</f>
        <v>72504.314210872428</v>
      </c>
      <c r="K49" s="424" t="s">
        <v>69</v>
      </c>
    </row>
    <row r="50" spans="1:11" x14ac:dyDescent="0.55000000000000004">
      <c r="A50" s="413" t="s">
        <v>70</v>
      </c>
      <c r="B50" s="381" t="s">
        <v>35</v>
      </c>
      <c r="C50" s="425">
        <f>'RMI_OCI+_100-yr'!H45</f>
        <v>6122.6277956646691</v>
      </c>
      <c r="D50" s="426" t="s">
        <v>68</v>
      </c>
      <c r="E50" s="426">
        <f>'RMI_OCI+_100-yr'!F45</f>
        <v>10661.995861827032</v>
      </c>
      <c r="F50" s="426" t="s">
        <v>68</v>
      </c>
      <c r="G50" s="426" t="s">
        <v>68</v>
      </c>
      <c r="H50" s="426" t="s">
        <v>68</v>
      </c>
      <c r="I50" s="426">
        <f>'RMI_OCI+_100-yr'!G45</f>
        <v>59810.082870582264</v>
      </c>
      <c r="J50" s="427">
        <f>SUM(C50,E50,I50)</f>
        <v>76594.706528073963</v>
      </c>
      <c r="K50" s="424" t="s">
        <v>71</v>
      </c>
    </row>
    <row r="51" spans="1:11" ht="29.25" customHeight="1" x14ac:dyDescent="0.55000000000000004">
      <c r="A51" s="413" t="s">
        <v>72</v>
      </c>
      <c r="B51" s="381" t="s">
        <v>35</v>
      </c>
      <c r="C51" s="425">
        <f>'RMI_OCI+_100-yr'!H40*'GREET 2023_100-yr'!$D$172</f>
        <v>8612.6831432389645</v>
      </c>
      <c r="D51" s="422">
        <f t="shared" ref="D51:I51" si="3">D48</f>
        <v>7521.2039469757083</v>
      </c>
      <c r="E51" s="422">
        <f>E48</f>
        <v>2461.6343539934132</v>
      </c>
      <c r="F51" s="422">
        <f t="shared" si="3"/>
        <v>650.54121133520425</v>
      </c>
      <c r="G51" s="422">
        <f t="shared" si="3"/>
        <v>1231.6718887209317</v>
      </c>
      <c r="H51" s="421">
        <f t="shared" si="3"/>
        <v>366.55886184282713</v>
      </c>
      <c r="I51" s="422">
        <f t="shared" si="3"/>
        <v>54247.989055425627</v>
      </c>
      <c r="J51" s="423">
        <f>SUM(C51:I51)</f>
        <v>75092.282461532683</v>
      </c>
      <c r="K51" s="548" t="s">
        <v>73</v>
      </c>
    </row>
    <row r="52" spans="1:11" ht="33" customHeight="1" x14ac:dyDescent="0.55000000000000004">
      <c r="A52" s="413" t="s">
        <v>74</v>
      </c>
      <c r="B52" s="381" t="s">
        <v>35</v>
      </c>
      <c r="C52" s="425">
        <f>'RMI_OCI+_100-yr'!H45*'GREET 2023_100-yr'!$D$172</f>
        <v>6233.5200959984968</v>
      </c>
      <c r="D52" s="422">
        <f>D48</f>
        <v>7521.2039469757083</v>
      </c>
      <c r="E52" s="422">
        <f>'GREET 2023_100-yr'!D336/5000*E48</f>
        <v>1390.904594707273</v>
      </c>
      <c r="F52" s="422">
        <f>F48</f>
        <v>650.54121133520425</v>
      </c>
      <c r="G52" s="422">
        <f>G48</f>
        <v>1231.6718887209317</v>
      </c>
      <c r="H52" s="422">
        <f>H48</f>
        <v>366.55886184282713</v>
      </c>
      <c r="I52" s="422">
        <f>I48</f>
        <v>54247.989055425627</v>
      </c>
      <c r="J52" s="423">
        <f>SUM(C52:I52)</f>
        <v>71642.389655006074</v>
      </c>
      <c r="K52" s="549"/>
    </row>
    <row r="53" spans="1:11" ht="28.8" x14ac:dyDescent="0.55000000000000004">
      <c r="A53" s="413" t="s">
        <v>75</v>
      </c>
      <c r="B53" s="381" t="s">
        <v>35</v>
      </c>
      <c r="C53" s="428">
        <f>SUM('GREET 2023_100-yr'!C201:C202)</f>
        <v>12943.188085779771</v>
      </c>
      <c r="D53" s="429">
        <f>'GREET 2023_100-yr'!C203</f>
        <v>7830.6703816707823</v>
      </c>
      <c r="E53" s="429">
        <f>'GREET 2023_100-yr'!C204</f>
        <v>2486.70405207063</v>
      </c>
      <c r="F53" s="429">
        <f>'GREET 2023_100-yr'!C205</f>
        <v>650.51232217730887</v>
      </c>
      <c r="G53" s="429">
        <f>'GREET 2023_100-yr'!C206</f>
        <v>1233.4956860408702</v>
      </c>
      <c r="H53" s="430">
        <f>'GREET 2023_100-yr'!C207</f>
        <v>346.59964423850772</v>
      </c>
      <c r="I53" s="429">
        <f>I51</f>
        <v>54247.989055425627</v>
      </c>
      <c r="J53" s="431">
        <f>SUM(C53:I53)</f>
        <v>79739.159227403492</v>
      </c>
      <c r="K53" s="424" t="s">
        <v>76</v>
      </c>
    </row>
    <row r="54" spans="1:11" x14ac:dyDescent="0.55000000000000004">
      <c r="A54" s="504"/>
      <c r="C54" s="505"/>
      <c r="D54" s="506"/>
      <c r="E54" s="506"/>
      <c r="F54" s="506"/>
      <c r="G54" s="506"/>
      <c r="H54" s="402"/>
      <c r="I54" s="506"/>
      <c r="J54" s="507"/>
      <c r="K54" s="508"/>
    </row>
    <row r="55" spans="1:11" x14ac:dyDescent="0.55000000000000004">
      <c r="A55" s="432" t="s">
        <v>524</v>
      </c>
    </row>
    <row r="56" spans="1:11" x14ac:dyDescent="0.55000000000000004">
      <c r="A56" s="413" t="s">
        <v>34</v>
      </c>
      <c r="B56" s="170" t="s">
        <v>77</v>
      </c>
      <c r="C56" s="433">
        <f t="shared" ref="C56:J56" si="4">C48/1000</f>
        <v>9.5439452881464373</v>
      </c>
      <c r="D56" s="433">
        <f t="shared" si="4"/>
        <v>7.5212039469757084</v>
      </c>
      <c r="E56" s="433">
        <f t="shared" si="4"/>
        <v>2.4616343539934133</v>
      </c>
      <c r="F56" s="433">
        <f t="shared" si="4"/>
        <v>0.65054121133520426</v>
      </c>
      <c r="G56" s="433">
        <f t="shared" si="4"/>
        <v>1.2316718887209317</v>
      </c>
      <c r="H56" s="433">
        <f t="shared" si="4"/>
        <v>0.36655886184282716</v>
      </c>
      <c r="I56" s="433">
        <f t="shared" si="4"/>
        <v>54.247989055425627</v>
      </c>
      <c r="J56" s="433">
        <f t="shared" si="4"/>
        <v>76.023544606440154</v>
      </c>
      <c r="K56" s="424" t="s">
        <v>66</v>
      </c>
    </row>
    <row r="57" spans="1:11" x14ac:dyDescent="0.55000000000000004">
      <c r="A57" s="413" t="s">
        <v>72</v>
      </c>
      <c r="B57" s="170" t="s">
        <v>77</v>
      </c>
      <c r="C57" s="433">
        <f t="shared" ref="C57:J59" si="5">C51/1000</f>
        <v>8.6126831432389643</v>
      </c>
      <c r="D57" s="434">
        <f t="shared" si="5"/>
        <v>7.5212039469757084</v>
      </c>
      <c r="E57" s="434">
        <f t="shared" si="5"/>
        <v>2.4616343539934133</v>
      </c>
      <c r="F57" s="434">
        <f t="shared" si="5"/>
        <v>0.65054121133520426</v>
      </c>
      <c r="G57" s="434">
        <f t="shared" si="5"/>
        <v>1.2316718887209317</v>
      </c>
      <c r="H57" s="433">
        <f t="shared" si="5"/>
        <v>0.36655886184282716</v>
      </c>
      <c r="I57" s="434">
        <f t="shared" si="5"/>
        <v>54.247989055425627</v>
      </c>
      <c r="J57" s="434">
        <f t="shared" si="5"/>
        <v>75.092282461532676</v>
      </c>
      <c r="K57" s="548" t="s">
        <v>73</v>
      </c>
    </row>
    <row r="58" spans="1:11" x14ac:dyDescent="0.55000000000000004">
      <c r="A58" s="413" t="s">
        <v>74</v>
      </c>
      <c r="B58" s="170" t="s">
        <v>77</v>
      </c>
      <c r="C58" s="433">
        <f t="shared" si="5"/>
        <v>6.2335200959984967</v>
      </c>
      <c r="D58" s="434">
        <f t="shared" si="5"/>
        <v>7.5212039469757084</v>
      </c>
      <c r="E58" s="434">
        <f t="shared" si="5"/>
        <v>1.3909045947072729</v>
      </c>
      <c r="F58" s="434">
        <f t="shared" si="5"/>
        <v>0.65054121133520426</v>
      </c>
      <c r="G58" s="434">
        <f t="shared" si="5"/>
        <v>1.2316718887209317</v>
      </c>
      <c r="H58" s="433">
        <f t="shared" si="5"/>
        <v>0.36655886184282716</v>
      </c>
      <c r="I58" s="434">
        <f t="shared" si="5"/>
        <v>54.247989055425627</v>
      </c>
      <c r="J58" s="434">
        <f t="shared" si="5"/>
        <v>71.64238965500607</v>
      </c>
      <c r="K58" s="549"/>
    </row>
    <row r="59" spans="1:11" ht="28.8" x14ac:dyDescent="0.55000000000000004">
      <c r="A59" s="413" t="s">
        <v>75</v>
      </c>
      <c r="B59" s="170" t="s">
        <v>77</v>
      </c>
      <c r="C59" s="433">
        <f t="shared" si="5"/>
        <v>12.943188085779772</v>
      </c>
      <c r="D59" s="434">
        <f t="shared" si="5"/>
        <v>7.8306703816707826</v>
      </c>
      <c r="E59" s="434">
        <f t="shared" si="5"/>
        <v>2.4867040520706301</v>
      </c>
      <c r="F59" s="434">
        <f t="shared" si="5"/>
        <v>0.65051232217730892</v>
      </c>
      <c r="G59" s="434">
        <f t="shared" si="5"/>
        <v>1.2334956860408701</v>
      </c>
      <c r="H59" s="433">
        <f t="shared" si="5"/>
        <v>0.3465996442385077</v>
      </c>
      <c r="I59" s="434">
        <f t="shared" si="5"/>
        <v>54.247989055425627</v>
      </c>
      <c r="J59" s="434">
        <f t="shared" si="5"/>
        <v>79.739159227403491</v>
      </c>
      <c r="K59" s="424" t="s">
        <v>76</v>
      </c>
    </row>
    <row r="61" spans="1:11" x14ac:dyDescent="0.55000000000000004">
      <c r="K61" s="420"/>
    </row>
    <row r="62" spans="1:11" x14ac:dyDescent="0.55000000000000004">
      <c r="A62" s="503" t="s">
        <v>78</v>
      </c>
      <c r="B62" s="436">
        <f>'GREET 2023_100-yr'!C30</f>
        <v>2289837.9423293835</v>
      </c>
    </row>
    <row r="63" spans="1:11" s="420" customFormat="1" ht="28.8" x14ac:dyDescent="0.55000000000000004">
      <c r="A63" s="415" t="s">
        <v>26</v>
      </c>
      <c r="B63" s="416" t="s">
        <v>27</v>
      </c>
      <c r="C63" s="417" t="s">
        <v>60</v>
      </c>
      <c r="D63" s="417" t="s">
        <v>61</v>
      </c>
      <c r="E63" s="417" t="s">
        <v>62</v>
      </c>
      <c r="F63" s="417" t="s">
        <v>63</v>
      </c>
      <c r="G63" s="417" t="s">
        <v>64</v>
      </c>
      <c r="H63" s="417" t="s">
        <v>65</v>
      </c>
      <c r="I63" s="417" t="s">
        <v>31</v>
      </c>
      <c r="J63" s="418" t="s">
        <v>32</v>
      </c>
      <c r="K63" s="437" t="s">
        <v>40</v>
      </c>
    </row>
    <row r="64" spans="1:11" x14ac:dyDescent="0.55000000000000004">
      <c r="A64" s="374" t="s">
        <v>56</v>
      </c>
      <c r="B64" s="395" t="s">
        <v>57</v>
      </c>
      <c r="C64" s="438">
        <f>C48*$B$62/10^6*g2kg</f>
        <v>21.854088040313449</v>
      </c>
      <c r="D64" s="438">
        <f>D48*$B$62/10^6*g2kg</f>
        <v>17.222338169782496</v>
      </c>
      <c r="E64" s="438">
        <f t="shared" ref="E64:J64" si="6">E48*$B$62/10^6*g2kg</f>
        <v>5.6367437439155994</v>
      </c>
      <c r="F64" s="438">
        <f t="shared" si="6"/>
        <v>1.4896339487642687</v>
      </c>
      <c r="G64" s="438">
        <f t="shared" si="6"/>
        <v>2.8203290232936835</v>
      </c>
      <c r="H64" s="438">
        <f t="shared" si="6"/>
        <v>0.83936038994478002</v>
      </c>
      <c r="I64" s="438">
        <f t="shared" si="6"/>
        <v>124.21910363418274</v>
      </c>
      <c r="J64" s="438">
        <f t="shared" si="6"/>
        <v>174.081596950197</v>
      </c>
      <c r="K64" s="207">
        <v>100</v>
      </c>
    </row>
    <row r="65" spans="1:11" x14ac:dyDescent="0.55000000000000004">
      <c r="A65" s="413" t="s">
        <v>67</v>
      </c>
      <c r="B65" s="395" t="s">
        <v>57</v>
      </c>
      <c r="C65" s="439">
        <f>C49*$B$62/10^6*g2kg</f>
        <v>19.370806914991693</v>
      </c>
      <c r="D65" s="439" t="s">
        <v>68</v>
      </c>
      <c r="E65" s="439">
        <f t="shared" ref="E65" si="7">E49*$B$62/10^6*g2kg</f>
        <v>22.830179729020333</v>
      </c>
      <c r="F65" s="439"/>
      <c r="G65" s="439"/>
      <c r="H65" s="439"/>
      <c r="I65" s="439">
        <f t="shared" ref="I65" si="8">I49*$B$62/10^6*g2kg</f>
        <v>123.82214301861519</v>
      </c>
      <c r="J65" s="439">
        <f>J49*$B$62/10^6*g2lb</f>
        <v>366.01834740436044</v>
      </c>
      <c r="K65" s="207">
        <v>100</v>
      </c>
    </row>
    <row r="66" spans="1:11" x14ac:dyDescent="0.55000000000000004">
      <c r="A66" s="413" t="s">
        <v>70</v>
      </c>
      <c r="B66" s="395" t="s">
        <v>57</v>
      </c>
      <c r="C66" s="439">
        <f>C50*$B$62/10^6*g2kg</f>
        <v>14.019825433273475</v>
      </c>
      <c r="D66" s="439" t="s">
        <v>68</v>
      </c>
      <c r="E66" s="439">
        <f t="shared" ref="E66" si="9">E50*$B$62/10^6*g2kg</f>
        <v>24.414242665370409</v>
      </c>
      <c r="F66" s="439"/>
      <c r="G66" s="439"/>
      <c r="H66" s="439"/>
      <c r="I66" s="439">
        <f t="shared" ref="I66" si="10">I50*$B$62/10^6*g2kg</f>
        <v>136.95539709092401</v>
      </c>
      <c r="J66" s="439">
        <f>J50*$B$62/10^6*g2lb</f>
        <v>386.66758259087976</v>
      </c>
      <c r="K66" s="207">
        <v>100</v>
      </c>
    </row>
    <row r="67" spans="1:11" x14ac:dyDescent="0.55000000000000004">
      <c r="A67" s="413" t="s">
        <v>72</v>
      </c>
      <c r="B67" s="395" t="s">
        <v>57</v>
      </c>
      <c r="C67" s="439">
        <f>C51*$B$62/10^6*g2kg</f>
        <v>19.721648646649275</v>
      </c>
      <c r="D67" s="438">
        <f>D51*$B$62/10^6*g2kg</f>
        <v>17.222338169782496</v>
      </c>
      <c r="E67" s="438">
        <f t="shared" ref="E67" si="11">E51*$B$62/10^6*g2kg</f>
        <v>5.6367437439155994</v>
      </c>
      <c r="F67" s="438">
        <f t="shared" ref="F67:H69" si="12">F51*$B$62/10^6*g2kg</f>
        <v>1.4896339487642687</v>
      </c>
      <c r="G67" s="438">
        <f t="shared" si="12"/>
        <v>2.8203290232936835</v>
      </c>
      <c r="H67" s="438">
        <f t="shared" si="12"/>
        <v>0.83936038994478002</v>
      </c>
      <c r="I67" s="438">
        <f t="shared" ref="I67" si="13">I51*$B$62/10^6*g2kg</f>
        <v>124.21910363418274</v>
      </c>
      <c r="J67" s="438">
        <f>J51*$B$62/10^6*g2kg</f>
        <v>171.94915755653284</v>
      </c>
      <c r="K67" s="207">
        <v>100</v>
      </c>
    </row>
    <row r="68" spans="1:11" x14ac:dyDescent="0.55000000000000004">
      <c r="A68" s="413" t="s">
        <v>74</v>
      </c>
      <c r="B68" s="395" t="s">
        <v>57</v>
      </c>
      <c r="C68" s="439">
        <f>C52*$B$62/10^6*g2kg</f>
        <v>14.273750830090059</v>
      </c>
      <c r="D68" s="438">
        <f>D52*$B$62/10^6*g2kg</f>
        <v>17.222338169782496</v>
      </c>
      <c r="E68" s="438">
        <f t="shared" ref="E68" si="14">E52*$B$62/10^6*g2kg</f>
        <v>3.184946115120987</v>
      </c>
      <c r="F68" s="438">
        <f t="shared" si="12"/>
        <v>1.4896339487642687</v>
      </c>
      <c r="G68" s="438">
        <f t="shared" si="12"/>
        <v>2.8203290232936835</v>
      </c>
      <c r="H68" s="438">
        <f t="shared" si="12"/>
        <v>0.83936038994478002</v>
      </c>
      <c r="I68" s="438">
        <f t="shared" ref="I68" si="15">I52*$B$62/10^6*g2kg</f>
        <v>124.21910363418274</v>
      </c>
      <c r="J68" s="438">
        <f>J52*$B$62/10^6*g2kg</f>
        <v>164.04946211117903</v>
      </c>
      <c r="K68" s="207">
        <v>100</v>
      </c>
    </row>
    <row r="69" spans="1:11" x14ac:dyDescent="0.55000000000000004">
      <c r="A69" s="413" t="s">
        <v>75</v>
      </c>
      <c r="B69" s="395" t="s">
        <v>57</v>
      </c>
      <c r="C69" s="438">
        <f>C53*$B$62/10^6*g2kg</f>
        <v>29.637803173524144</v>
      </c>
      <c r="D69" s="440">
        <f>D53*$B$62/10^6*g2kg</f>
        <v>17.930966153824674</v>
      </c>
      <c r="E69" s="438">
        <f t="shared" ref="E69" si="16">E53*$B$62/10^6*g2kg</f>
        <v>5.6941492897755515</v>
      </c>
      <c r="F69" s="440">
        <f t="shared" si="12"/>
        <v>1.4895677972743979</v>
      </c>
      <c r="G69" s="440">
        <f t="shared" si="12"/>
        <v>2.8245052235959975</v>
      </c>
      <c r="H69" s="440">
        <f t="shared" si="12"/>
        <v>0.7936570161752009</v>
      </c>
      <c r="I69" s="438">
        <f t="shared" ref="I69" si="17">I53*$B$62/10^6*g2kg</f>
        <v>124.21910363418274</v>
      </c>
      <c r="J69" s="440">
        <f>J53*$B$62/10^6*g2kg</f>
        <v>182.58975228835271</v>
      </c>
      <c r="K69" s="207">
        <v>100</v>
      </c>
    </row>
    <row r="71" spans="1:11" x14ac:dyDescent="0.55000000000000004">
      <c r="A71" s="441" t="s">
        <v>79</v>
      </c>
      <c r="B71" s="365"/>
      <c r="C71" s="366"/>
      <c r="D71" s="367"/>
      <c r="E71" s="367"/>
      <c r="F71" s="367"/>
      <c r="G71" s="367"/>
      <c r="H71" s="366"/>
      <c r="I71" s="367"/>
      <c r="J71" s="367"/>
    </row>
    <row r="73" spans="1:11" x14ac:dyDescent="0.55000000000000004">
      <c r="A73" s="442" t="s">
        <v>80</v>
      </c>
      <c r="B73" s="442" t="s">
        <v>25</v>
      </c>
      <c r="C73" s="419" t="s">
        <v>81</v>
      </c>
      <c r="D73" s="407" t="s">
        <v>82</v>
      </c>
    </row>
    <row r="74" spans="1:11" x14ac:dyDescent="0.55000000000000004">
      <c r="A74" s="170" t="s">
        <v>56</v>
      </c>
      <c r="B74" s="171">
        <f>G33</f>
        <v>326.54423758075643</v>
      </c>
      <c r="C74" s="443">
        <f>J64</f>
        <v>174.081596950197</v>
      </c>
      <c r="D74" s="172">
        <f>C74/B74-1</f>
        <v>-0.46689735442921254</v>
      </c>
    </row>
    <row r="75" spans="1:11" x14ac:dyDescent="0.55000000000000004">
      <c r="A75" s="444" t="s">
        <v>83</v>
      </c>
      <c r="B75" s="445">
        <f>G37</f>
        <v>353.18900861809499</v>
      </c>
      <c r="C75" s="446"/>
      <c r="D75" s="252"/>
    </row>
    <row r="76" spans="1:11" x14ac:dyDescent="0.55000000000000004">
      <c r="A76" s="447" t="s">
        <v>72</v>
      </c>
      <c r="B76" s="448"/>
      <c r="C76" s="449">
        <f>J67</f>
        <v>171.94915755653284</v>
      </c>
      <c r="D76" s="253">
        <f>C76/B75-1</f>
        <v>-0.51315258017425358</v>
      </c>
    </row>
    <row r="77" spans="1:11" x14ac:dyDescent="0.55000000000000004">
      <c r="A77" s="450" t="s">
        <v>74</v>
      </c>
      <c r="B77" s="451"/>
      <c r="C77" s="452">
        <f>J68</f>
        <v>164.04946211117903</v>
      </c>
      <c r="D77" s="254">
        <f>C77/B75-1</f>
        <v>-0.53551934486000241</v>
      </c>
    </row>
    <row r="78" spans="1:11" x14ac:dyDescent="0.55000000000000004">
      <c r="A78" s="453" t="s">
        <v>38</v>
      </c>
      <c r="B78" s="454">
        <f>G40</f>
        <v>321.95410920307171</v>
      </c>
      <c r="C78" s="455"/>
      <c r="D78" s="456"/>
    </row>
    <row r="79" spans="1:11" x14ac:dyDescent="0.55000000000000004">
      <c r="A79" s="457" t="s">
        <v>75</v>
      </c>
      <c r="B79" s="458"/>
      <c r="C79" s="459">
        <f>J69</f>
        <v>182.58975228835271</v>
      </c>
      <c r="D79" s="460">
        <f>C79/B78-1</f>
        <v>-0.43287025365101117</v>
      </c>
    </row>
  </sheetData>
  <mergeCells count="5">
    <mergeCell ref="K24:K26"/>
    <mergeCell ref="K27:K29"/>
    <mergeCell ref="K21:K23"/>
    <mergeCell ref="K51:K52"/>
    <mergeCell ref="K57:K5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0C212-FD0D-489F-86DB-FBE607BE1976}">
  <sheetPr>
    <tabColor rgb="FF00B0F0"/>
  </sheetPr>
  <dimension ref="A1:L96"/>
  <sheetViews>
    <sheetView topLeftCell="A43" zoomScale="75" zoomScaleNormal="55" workbookViewId="0">
      <selection activeCell="D69" sqref="D69"/>
    </sheetView>
  </sheetViews>
  <sheetFormatPr defaultColWidth="8.83984375" defaultRowHeight="14.4" x14ac:dyDescent="0.55000000000000004"/>
  <cols>
    <col min="1" max="1" width="43.41796875" style="207" bestFit="1" customWidth="1"/>
    <col min="2" max="2" width="28.41796875" style="207" customWidth="1"/>
    <col min="3" max="3" width="20.41796875" style="420" customWidth="1"/>
    <col min="4" max="4" width="15.41796875" style="207" customWidth="1"/>
    <col min="5" max="5" width="22.26171875" style="207" customWidth="1"/>
    <col min="6" max="6" width="18.68359375" style="207" customWidth="1"/>
    <col min="7" max="7" width="15.41796875" style="207" customWidth="1"/>
    <col min="8" max="8" width="21.68359375" style="420" customWidth="1"/>
    <col min="9" max="9" width="21.15625" style="207" customWidth="1"/>
    <col min="10" max="10" width="17" style="207" customWidth="1"/>
    <col min="11" max="11" width="58.41796875" style="207" customWidth="1"/>
    <col min="12" max="12" width="128" style="207" customWidth="1"/>
    <col min="13" max="16384" width="8.83984375" style="207"/>
  </cols>
  <sheetData>
    <row r="1" spans="1:11" ht="18.3" x14ac:dyDescent="0.7">
      <c r="A1" s="358" t="s">
        <v>84</v>
      </c>
      <c r="B1" s="358"/>
      <c r="C1" s="362"/>
      <c r="D1" s="358"/>
      <c r="E1" s="358"/>
      <c r="F1" s="358"/>
      <c r="G1" s="358"/>
      <c r="H1" s="362"/>
      <c r="I1" s="358"/>
      <c r="J1" s="358"/>
      <c r="K1" s="358"/>
    </row>
    <row r="2" spans="1:11" ht="38.4" customHeight="1" x14ac:dyDescent="0.85">
      <c r="A2" s="518" t="s">
        <v>25</v>
      </c>
      <c r="B2" s="365"/>
      <c r="C2" s="462"/>
      <c r="D2" s="365"/>
      <c r="E2" s="365"/>
      <c r="F2" s="365"/>
      <c r="G2" s="365"/>
      <c r="H2" s="462"/>
      <c r="I2" s="365"/>
      <c r="J2" s="365"/>
      <c r="K2" s="365"/>
    </row>
    <row r="3" spans="1:11" ht="28.8" x14ac:dyDescent="0.55000000000000004">
      <c r="A3" s="368" t="s">
        <v>26</v>
      </c>
      <c r="B3" s="369" t="s">
        <v>27</v>
      </c>
      <c r="C3" s="370" t="s">
        <v>28</v>
      </c>
      <c r="D3" s="371" t="s">
        <v>29</v>
      </c>
      <c r="E3" s="371" t="s">
        <v>30</v>
      </c>
      <c r="F3" s="371" t="s">
        <v>31</v>
      </c>
      <c r="G3" s="371" t="s">
        <v>32</v>
      </c>
      <c r="H3" s="372" t="s">
        <v>33</v>
      </c>
    </row>
    <row r="4" spans="1:11" x14ac:dyDescent="0.55000000000000004">
      <c r="A4" s="374" t="s">
        <v>34</v>
      </c>
      <c r="B4" s="375" t="s">
        <v>35</v>
      </c>
      <c r="C4" s="376">
        <f>'GREET 2023_20-yr'!C115</f>
        <v>11873.355275718035</v>
      </c>
      <c r="D4" s="377">
        <f>'GREET 2023_20-yr'!C116</f>
        <v>2019.4475155941066</v>
      </c>
      <c r="E4" s="377">
        <f>'GREET 2023_20-yr'!C117</f>
        <v>5632.6918303044313</v>
      </c>
      <c r="F4" s="377">
        <f>'GREET 2023_20-yr'!D65/'GREET 2023_20-yr'!$C$27*10^6</f>
        <v>85624.142342303196</v>
      </c>
      <c r="G4" s="378">
        <f>SUM(C4:F4)</f>
        <v>105149.63696391977</v>
      </c>
      <c r="H4" s="379"/>
    </row>
    <row r="5" spans="1:11" x14ac:dyDescent="0.55000000000000004">
      <c r="A5" s="380" t="s">
        <v>23</v>
      </c>
      <c r="B5" s="381" t="s">
        <v>35</v>
      </c>
      <c r="C5" s="382">
        <f>SUMPRODUCT(C6:C7,$H$6:$H$7)</f>
        <v>26758.23029230097</v>
      </c>
      <c r="D5" s="382">
        <f>SUMPRODUCT(D6:D7,$H$6:$H$7)</f>
        <v>2211.8503841835054</v>
      </c>
      <c r="E5" s="382">
        <f>SUMPRODUCT(E6:E7,$H$6:$H$7)</f>
        <v>7294.139124622332</v>
      </c>
      <c r="F5" s="382">
        <f>SUMPRODUCT(F6:F7,$H$6:$H$7)</f>
        <v>76323.631574386687</v>
      </c>
      <c r="G5" s="383">
        <f t="shared" ref="G5:G13" si="0">SUM(C5:F5)</f>
        <v>112587.8513754935</v>
      </c>
      <c r="H5" s="384"/>
    </row>
    <row r="6" spans="1:11" x14ac:dyDescent="0.55000000000000004">
      <c r="A6" s="385" t="s">
        <v>36</v>
      </c>
      <c r="B6" s="10" t="s">
        <v>35</v>
      </c>
      <c r="C6" s="386">
        <f>'RMI_OCI+_20-yr'!D14</f>
        <v>30799.439103412988</v>
      </c>
      <c r="D6" s="387">
        <f>'RMI_OCI+_20-yr'!F14</f>
        <v>2280.6218235100064</v>
      </c>
      <c r="E6" s="388">
        <f>'RMI_OCI+_20-yr'!E14</f>
        <v>6689.8427403005517</v>
      </c>
      <c r="F6" s="388">
        <f>'RMI_OCI+_20-yr'!G14</f>
        <v>78251.297428274047</v>
      </c>
      <c r="G6" s="387">
        <f t="shared" si="0"/>
        <v>118021.2010954976</v>
      </c>
      <c r="H6" s="389">
        <f>'HSEO_Crude Import'!N3</f>
        <v>0.57992771754239647</v>
      </c>
    </row>
    <row r="7" spans="1:11" x14ac:dyDescent="0.55000000000000004">
      <c r="A7" s="390" t="s">
        <v>37</v>
      </c>
      <c r="B7" s="391" t="s">
        <v>35</v>
      </c>
      <c r="C7" s="392">
        <f>'RMI_OCI+_20-yr'!D23</f>
        <v>21179.169021632752</v>
      </c>
      <c r="D7" s="393">
        <f>'RMI_OCI+_20-yr'!F23</f>
        <v>2116.9084765494345</v>
      </c>
      <c r="E7" s="394">
        <f>'RMI_OCI+_20-yr'!E23</f>
        <v>8128.3960787555088</v>
      </c>
      <c r="F7" s="394">
        <f>'RMI_OCI+_20-yr'!G23</f>
        <v>73662.406576895592</v>
      </c>
      <c r="G7" s="393">
        <f t="shared" si="0"/>
        <v>105086.88015383328</v>
      </c>
      <c r="H7" s="389">
        <f>'HSEO_Crude Import'!N4</f>
        <v>0.42007228245760359</v>
      </c>
    </row>
    <row r="8" spans="1:11" x14ac:dyDescent="0.55000000000000004">
      <c r="A8" s="380" t="s">
        <v>48</v>
      </c>
      <c r="B8" s="381" t="s">
        <v>35</v>
      </c>
      <c r="C8" s="382">
        <f>SUMPRODUCT(C9:C10,$H$9:$H$10)</f>
        <v>26758.23029230097</v>
      </c>
      <c r="D8" s="395">
        <f>SUMPRODUCT(D9:D10,$H$9:$H$10)</f>
        <v>2125.1326661399321</v>
      </c>
      <c r="E8" s="395">
        <f>SUMPRODUCT(E9:E10,$H$9:$H$10)</f>
        <v>5632.6918303044313</v>
      </c>
      <c r="F8" s="395">
        <f>SUMPRODUCT(F9:F10,$H$9:$H$10)</f>
        <v>85624.14234230321</v>
      </c>
      <c r="G8" s="383">
        <f t="shared" si="0"/>
        <v>120140.19713104854</v>
      </c>
      <c r="H8" s="384"/>
    </row>
    <row r="9" spans="1:11" x14ac:dyDescent="0.55000000000000004">
      <c r="A9" s="385" t="s">
        <v>36</v>
      </c>
      <c r="B9" s="10" t="s">
        <v>35</v>
      </c>
      <c r="C9" s="386">
        <f>'RMI_OCI+_20-yr'!D14</f>
        <v>30799.439103412988</v>
      </c>
      <c r="D9" s="396">
        <f>'GREET 2023_20-yr'!F332</f>
        <v>2420.4212156051558</v>
      </c>
      <c r="E9" s="397">
        <f>$E$4</f>
        <v>5632.6918303044313</v>
      </c>
      <c r="F9" s="397">
        <f>$F$4</f>
        <v>85624.142342303196</v>
      </c>
      <c r="G9" s="396">
        <f t="shared" si="0"/>
        <v>124476.69449162576</v>
      </c>
      <c r="H9" s="389">
        <f>'HSEO_Crude Import'!N3</f>
        <v>0.57992771754239647</v>
      </c>
    </row>
    <row r="10" spans="1:11" x14ac:dyDescent="0.55000000000000004">
      <c r="A10" s="390" t="s">
        <v>37</v>
      </c>
      <c r="B10" s="391" t="s">
        <v>35</v>
      </c>
      <c r="C10" s="392">
        <f>'RMI_OCI+_20-yr'!D23</f>
        <v>21179.169021632752</v>
      </c>
      <c r="D10" s="399">
        <f>'GREET 2023_20-yr'!F330</f>
        <v>1717.4742186320188</v>
      </c>
      <c r="E10" s="400">
        <f>$E$4</f>
        <v>5632.6918303044313</v>
      </c>
      <c r="F10" s="400">
        <f>$F$4</f>
        <v>85624.142342303196</v>
      </c>
      <c r="G10" s="399">
        <f t="shared" si="0"/>
        <v>114153.47741287239</v>
      </c>
      <c r="H10" s="389">
        <f>'HSEO_Crude Import'!N4</f>
        <v>0.42007228245760359</v>
      </c>
    </row>
    <row r="11" spans="1:11" x14ac:dyDescent="0.55000000000000004">
      <c r="A11" s="401" t="s">
        <v>38</v>
      </c>
      <c r="B11" s="381" t="s">
        <v>35</v>
      </c>
      <c r="C11" s="382">
        <f>SUMPRODUCT(C12:C13,$H$12:$H$13)</f>
        <v>5658.354086509943</v>
      </c>
      <c r="D11" s="395">
        <f>SUMPRODUCT(D12:D13,$H$12:$H$13)</f>
        <v>2125.1326661399321</v>
      </c>
      <c r="E11" s="395">
        <f>SUMPRODUCT(E12:E13,$H$12:$H$13)</f>
        <v>5632.6918303044313</v>
      </c>
      <c r="F11" s="395">
        <f>SUMPRODUCT(F12:F13,$H$12:$H$13)</f>
        <v>85624.14234230321</v>
      </c>
      <c r="G11" s="383">
        <f>SUMPRODUCT(G12:G13,$H$12:$H$13)</f>
        <v>99040.320925257518</v>
      </c>
      <c r="H11" s="384"/>
    </row>
    <row r="12" spans="1:11" x14ac:dyDescent="0.55000000000000004">
      <c r="A12" s="385" t="s">
        <v>36</v>
      </c>
      <c r="B12" s="10" t="s">
        <v>35</v>
      </c>
      <c r="C12" s="402">
        <f>NOIA_EPA!$B$11</f>
        <v>6484.4317433368878</v>
      </c>
      <c r="D12" s="397">
        <f>'GREET 2023_20-yr'!F332</f>
        <v>2420.4212156051558</v>
      </c>
      <c r="E12" s="397">
        <f>$E$4</f>
        <v>5632.6918303044313</v>
      </c>
      <c r="F12" s="397">
        <f>$F$4</f>
        <v>85624.142342303196</v>
      </c>
      <c r="G12" s="396">
        <f t="shared" si="0"/>
        <v>100161.68713154967</v>
      </c>
      <c r="H12" s="403">
        <f>'HSEO_Crude Import'!N3</f>
        <v>0.57992771754239647</v>
      </c>
    </row>
    <row r="13" spans="1:11" x14ac:dyDescent="0.55000000000000004">
      <c r="A13" s="463" t="s">
        <v>37</v>
      </c>
      <c r="B13" s="10" t="s">
        <v>35</v>
      </c>
      <c r="C13" s="402">
        <f>NOIA_EPA!$B$8</f>
        <v>4517.9186185145709</v>
      </c>
      <c r="D13" s="397">
        <f>'GREET 2023_20-yr'!F330</f>
        <v>1717.4742186320188</v>
      </c>
      <c r="E13" s="397">
        <f>$E$4</f>
        <v>5632.6918303044313</v>
      </c>
      <c r="F13" s="397">
        <f>$F$4</f>
        <v>85624.142342303196</v>
      </c>
      <c r="G13" s="396">
        <f t="shared" si="0"/>
        <v>97492.22700975422</v>
      </c>
      <c r="H13" s="389">
        <f>'HSEO_Crude Import'!N4</f>
        <v>0.42007228245760359</v>
      </c>
    </row>
    <row r="14" spans="1:11" x14ac:dyDescent="0.55000000000000004">
      <c r="A14" s="464" t="s">
        <v>465</v>
      </c>
      <c r="B14" s="464"/>
      <c r="C14" s="464"/>
      <c r="D14" s="464"/>
      <c r="E14" s="464"/>
      <c r="F14" s="464"/>
      <c r="G14" s="464"/>
      <c r="H14" s="464"/>
      <c r="I14" s="464"/>
    </row>
    <row r="15" spans="1:11" ht="28.8" x14ac:dyDescent="0.55000000000000004">
      <c r="A15" s="465" t="s">
        <v>26</v>
      </c>
      <c r="B15" s="466" t="s">
        <v>27</v>
      </c>
      <c r="C15" s="437" t="s">
        <v>28</v>
      </c>
      <c r="D15" s="406" t="s">
        <v>29</v>
      </c>
      <c r="E15" s="406" t="s">
        <v>30</v>
      </c>
      <c r="F15" s="406" t="s">
        <v>31</v>
      </c>
      <c r="G15" s="406" t="s">
        <v>32</v>
      </c>
      <c r="H15" s="406" t="s">
        <v>85</v>
      </c>
      <c r="I15" s="406" t="s">
        <v>40</v>
      </c>
    </row>
    <row r="16" spans="1:11" x14ac:dyDescent="0.55000000000000004">
      <c r="A16" s="374" t="s">
        <v>34</v>
      </c>
      <c r="B16" s="375" t="s">
        <v>77</v>
      </c>
      <c r="C16" s="509">
        <f t="shared" ref="C16:G25" si="1">C4/10^3</f>
        <v>11.873355275718035</v>
      </c>
      <c r="D16" s="470">
        <f t="shared" si="1"/>
        <v>2.0194475155941065</v>
      </c>
      <c r="E16" s="470">
        <f t="shared" si="1"/>
        <v>5.6326918303044309</v>
      </c>
      <c r="F16" s="470">
        <f t="shared" si="1"/>
        <v>85.624142342303202</v>
      </c>
      <c r="G16" s="510">
        <f t="shared" si="1"/>
        <v>105.14963696391976</v>
      </c>
      <c r="H16" s="375" t="s">
        <v>43</v>
      </c>
      <c r="I16" s="375">
        <v>20</v>
      </c>
      <c r="K16" s="407" t="s">
        <v>41</v>
      </c>
    </row>
    <row r="17" spans="1:11" x14ac:dyDescent="0.55000000000000004">
      <c r="A17" s="380" t="s">
        <v>45</v>
      </c>
      <c r="B17" s="375" t="s">
        <v>77</v>
      </c>
      <c r="C17" s="511">
        <f t="shared" si="1"/>
        <v>26.758230292300969</v>
      </c>
      <c r="D17" s="511">
        <f t="shared" si="1"/>
        <v>2.2118503841835055</v>
      </c>
      <c r="E17" s="511">
        <f t="shared" si="1"/>
        <v>7.2941391246223324</v>
      </c>
      <c r="F17" s="511">
        <f t="shared" si="1"/>
        <v>76.323631574386681</v>
      </c>
      <c r="G17" s="512">
        <f t="shared" si="1"/>
        <v>112.5878513754935</v>
      </c>
      <c r="H17" s="375" t="s">
        <v>43</v>
      </c>
      <c r="I17" s="375">
        <v>20</v>
      </c>
      <c r="K17" s="170" t="s">
        <v>44</v>
      </c>
    </row>
    <row r="18" spans="1:11" x14ac:dyDescent="0.55000000000000004">
      <c r="A18" s="385" t="s">
        <v>46</v>
      </c>
      <c r="B18" s="375" t="s">
        <v>77</v>
      </c>
      <c r="C18" s="513">
        <f t="shared" si="1"/>
        <v>30.799439103412986</v>
      </c>
      <c r="D18" s="514">
        <f t="shared" si="1"/>
        <v>2.2806218235100064</v>
      </c>
      <c r="E18" s="472">
        <f t="shared" si="1"/>
        <v>6.689842740300552</v>
      </c>
      <c r="F18" s="472">
        <f t="shared" si="1"/>
        <v>78.251297428274043</v>
      </c>
      <c r="G18" s="514">
        <f t="shared" si="1"/>
        <v>118.0212010954976</v>
      </c>
      <c r="H18" s="375" t="s">
        <v>43</v>
      </c>
      <c r="I18" s="375">
        <v>20</v>
      </c>
      <c r="K18" s="547" t="s">
        <v>23</v>
      </c>
    </row>
    <row r="19" spans="1:11" x14ac:dyDescent="0.55000000000000004">
      <c r="A19" s="390" t="s">
        <v>47</v>
      </c>
      <c r="B19" s="375" t="s">
        <v>77</v>
      </c>
      <c r="C19" s="515">
        <f t="shared" si="1"/>
        <v>21.179169021632752</v>
      </c>
      <c r="D19" s="516">
        <f t="shared" si="1"/>
        <v>2.1169084765494346</v>
      </c>
      <c r="E19" s="473">
        <f t="shared" si="1"/>
        <v>8.1283960787555092</v>
      </c>
      <c r="F19" s="473">
        <f t="shared" si="1"/>
        <v>73.662406576895592</v>
      </c>
      <c r="G19" s="516">
        <f t="shared" si="1"/>
        <v>105.08688015383328</v>
      </c>
      <c r="H19" s="375" t="s">
        <v>43</v>
      </c>
      <c r="I19" s="375">
        <v>20</v>
      </c>
      <c r="K19" s="547"/>
    </row>
    <row r="20" spans="1:11" x14ac:dyDescent="0.55000000000000004">
      <c r="A20" s="380" t="s">
        <v>48</v>
      </c>
      <c r="B20" s="375" t="s">
        <v>77</v>
      </c>
      <c r="C20" s="511">
        <f t="shared" si="1"/>
        <v>26.758230292300969</v>
      </c>
      <c r="D20" s="471">
        <f t="shared" si="1"/>
        <v>2.1251326661399319</v>
      </c>
      <c r="E20" s="471">
        <f t="shared" si="1"/>
        <v>5.6326918303044309</v>
      </c>
      <c r="F20" s="471">
        <f t="shared" si="1"/>
        <v>85.624142342303216</v>
      </c>
      <c r="G20" s="512">
        <f t="shared" si="1"/>
        <v>120.14019713104854</v>
      </c>
      <c r="H20" s="375" t="s">
        <v>43</v>
      </c>
      <c r="I20" s="375">
        <v>20</v>
      </c>
      <c r="K20" s="547"/>
    </row>
    <row r="21" spans="1:11" x14ac:dyDescent="0.55000000000000004">
      <c r="A21" s="385" t="s">
        <v>50</v>
      </c>
      <c r="B21" s="375" t="s">
        <v>77</v>
      </c>
      <c r="C21" s="513">
        <f t="shared" si="1"/>
        <v>30.799439103412986</v>
      </c>
      <c r="D21" s="478">
        <f t="shared" si="1"/>
        <v>2.4204212156051557</v>
      </c>
      <c r="E21" s="474">
        <f t="shared" si="1"/>
        <v>5.6326918303044309</v>
      </c>
      <c r="F21" s="474">
        <f t="shared" si="1"/>
        <v>85.624142342303202</v>
      </c>
      <c r="G21" s="478">
        <f t="shared" si="1"/>
        <v>124.47669449162576</v>
      </c>
      <c r="H21" s="375" t="s">
        <v>43</v>
      </c>
      <c r="I21" s="375">
        <v>20</v>
      </c>
      <c r="K21" s="547" t="s">
        <v>49</v>
      </c>
    </row>
    <row r="22" spans="1:11" x14ac:dyDescent="0.55000000000000004">
      <c r="A22" s="390" t="s">
        <v>51</v>
      </c>
      <c r="B22" s="375" t="s">
        <v>77</v>
      </c>
      <c r="C22" s="515">
        <f t="shared" si="1"/>
        <v>21.179169021632752</v>
      </c>
      <c r="D22" s="517">
        <f t="shared" si="1"/>
        <v>1.7174742186320189</v>
      </c>
      <c r="E22" s="475">
        <f t="shared" si="1"/>
        <v>5.6326918303044309</v>
      </c>
      <c r="F22" s="475">
        <f t="shared" si="1"/>
        <v>85.624142342303202</v>
      </c>
      <c r="G22" s="517">
        <f t="shared" si="1"/>
        <v>114.15347741287239</v>
      </c>
      <c r="H22" s="375" t="s">
        <v>43</v>
      </c>
      <c r="I22" s="375">
        <v>20</v>
      </c>
      <c r="K22" s="547"/>
    </row>
    <row r="23" spans="1:11" x14ac:dyDescent="0.55000000000000004">
      <c r="A23" s="401" t="s">
        <v>38</v>
      </c>
      <c r="B23" s="375" t="s">
        <v>77</v>
      </c>
      <c r="C23" s="511">
        <f t="shared" si="1"/>
        <v>5.6583540865099433</v>
      </c>
      <c r="D23" s="471">
        <f t="shared" si="1"/>
        <v>2.1251326661399319</v>
      </c>
      <c r="E23" s="471">
        <f t="shared" si="1"/>
        <v>5.6326918303044309</v>
      </c>
      <c r="F23" s="471">
        <f t="shared" si="1"/>
        <v>85.624142342303216</v>
      </c>
      <c r="G23" s="512">
        <f t="shared" si="1"/>
        <v>99.040320925257518</v>
      </c>
      <c r="H23" s="375" t="s">
        <v>43</v>
      </c>
      <c r="I23" s="375">
        <v>20</v>
      </c>
      <c r="K23" s="547"/>
    </row>
    <row r="24" spans="1:11" x14ac:dyDescent="0.55000000000000004">
      <c r="A24" s="385" t="s">
        <v>53</v>
      </c>
      <c r="B24" s="375" t="s">
        <v>77</v>
      </c>
      <c r="C24" s="477">
        <f t="shared" si="1"/>
        <v>6.4844317433368879</v>
      </c>
      <c r="D24" s="474">
        <f t="shared" si="1"/>
        <v>2.4204212156051557</v>
      </c>
      <c r="E24" s="474">
        <f t="shared" si="1"/>
        <v>5.6326918303044309</v>
      </c>
      <c r="F24" s="474">
        <f t="shared" si="1"/>
        <v>85.624142342303202</v>
      </c>
      <c r="G24" s="478">
        <f t="shared" si="1"/>
        <v>100.16168713154967</v>
      </c>
      <c r="H24" s="375" t="s">
        <v>43</v>
      </c>
      <c r="I24" s="375">
        <v>20</v>
      </c>
      <c r="K24" s="547" t="s">
        <v>52</v>
      </c>
    </row>
    <row r="25" spans="1:11" x14ac:dyDescent="0.55000000000000004">
      <c r="A25" s="390" t="s">
        <v>54</v>
      </c>
      <c r="B25" s="375" t="s">
        <v>77</v>
      </c>
      <c r="C25" s="477">
        <f t="shared" si="1"/>
        <v>4.517918618514571</v>
      </c>
      <c r="D25" s="474">
        <f t="shared" si="1"/>
        <v>1.7174742186320189</v>
      </c>
      <c r="E25" s="474">
        <f t="shared" si="1"/>
        <v>5.6326918303044309</v>
      </c>
      <c r="F25" s="474">
        <f t="shared" si="1"/>
        <v>85.624142342303202</v>
      </c>
      <c r="G25" s="478">
        <f t="shared" si="1"/>
        <v>97.492227009754217</v>
      </c>
      <c r="H25" s="375" t="s">
        <v>43</v>
      </c>
      <c r="I25" s="375">
        <v>20</v>
      </c>
      <c r="K25" s="547"/>
    </row>
    <row r="26" spans="1:11" x14ac:dyDescent="0.55000000000000004">
      <c r="K26" s="547"/>
    </row>
    <row r="28" spans="1:11" x14ac:dyDescent="0.55000000000000004">
      <c r="A28" s="464" t="s">
        <v>55</v>
      </c>
      <c r="B28" s="467">
        <f>'GREET 2023_20-yr'!C27</f>
        <v>3276279.7405536184</v>
      </c>
      <c r="C28" s="468"/>
      <c r="D28" s="464"/>
      <c r="E28" s="464"/>
      <c r="F28" s="464"/>
      <c r="G28" s="464"/>
      <c r="H28" s="464"/>
      <c r="I28" s="464"/>
      <c r="K28" s="207" t="s">
        <v>462</v>
      </c>
    </row>
    <row r="29" spans="1:11" ht="28.8" x14ac:dyDescent="0.55000000000000004">
      <c r="A29" s="465" t="s">
        <v>26</v>
      </c>
      <c r="B29" s="466" t="s">
        <v>27</v>
      </c>
      <c r="C29" s="437" t="s">
        <v>28</v>
      </c>
      <c r="D29" s="406" t="s">
        <v>29</v>
      </c>
      <c r="E29" s="406" t="s">
        <v>30</v>
      </c>
      <c r="F29" s="406" t="s">
        <v>31</v>
      </c>
      <c r="G29" s="469" t="s">
        <v>32</v>
      </c>
      <c r="H29" s="406" t="s">
        <v>40</v>
      </c>
    </row>
    <row r="30" spans="1:11" x14ac:dyDescent="0.55000000000000004">
      <c r="A30" s="374" t="s">
        <v>56</v>
      </c>
      <c r="B30" s="375" t="s">
        <v>57</v>
      </c>
      <c r="C30" s="470">
        <f t="shared" ref="C30:C39" si="2">C4*$B$28/10^6*g2kg</f>
        <v>38.900433342230428</v>
      </c>
      <c r="D30" s="470">
        <f t="shared" ref="D30:D39" si="3">D4*$B$28/10^6*g2lb</f>
        <v>14.586389498686472</v>
      </c>
      <c r="E30" s="470">
        <f t="shared" ref="E30:G39" si="4">E4*$B$28/10^6*g2kg</f>
        <v>18.454274128408287</v>
      </c>
      <c r="F30" s="470">
        <f t="shared" si="4"/>
        <v>280.52864285836716</v>
      </c>
      <c r="G30" s="470">
        <f t="shared" si="4"/>
        <v>344.4996253114582</v>
      </c>
      <c r="H30" s="207">
        <v>20</v>
      </c>
    </row>
    <row r="31" spans="1:11" x14ac:dyDescent="0.55000000000000004">
      <c r="A31" s="413" t="s">
        <v>23</v>
      </c>
      <c r="B31" s="375" t="s">
        <v>57</v>
      </c>
      <c r="C31" s="471">
        <f t="shared" si="2"/>
        <v>87.667447799733793</v>
      </c>
      <c r="D31" s="471">
        <f t="shared" si="3"/>
        <v>15.97610780542044</v>
      </c>
      <c r="E31" s="471">
        <f t="shared" si="4"/>
        <v>23.897640238779651</v>
      </c>
      <c r="F31" s="471">
        <f t="shared" si="4"/>
        <v>250.05756785264157</v>
      </c>
      <c r="G31" s="471">
        <f t="shared" si="4"/>
        <v>368.86929649399121</v>
      </c>
      <c r="H31" s="207">
        <v>20</v>
      </c>
    </row>
    <row r="32" spans="1:11" x14ac:dyDescent="0.55000000000000004">
      <c r="A32" s="385" t="s">
        <v>36</v>
      </c>
      <c r="B32" s="375" t="s">
        <v>57</v>
      </c>
      <c r="C32" s="472">
        <f t="shared" si="2"/>
        <v>100.90757835492688</v>
      </c>
      <c r="D32" s="472">
        <f t="shared" si="3"/>
        <v>16.472841190495078</v>
      </c>
      <c r="E32" s="472">
        <f t="shared" si="4"/>
        <v>21.9177962375364</v>
      </c>
      <c r="F32" s="472">
        <f t="shared" si="4"/>
        <v>256.37314043628976</v>
      </c>
      <c r="G32" s="472">
        <f t="shared" si="4"/>
        <v>386.67047010498328</v>
      </c>
      <c r="H32" s="207">
        <v>20</v>
      </c>
    </row>
    <row r="33" spans="1:11" x14ac:dyDescent="0.55000000000000004">
      <c r="A33" s="390" t="s">
        <v>37</v>
      </c>
      <c r="B33" s="375" t="s">
        <v>57</v>
      </c>
      <c r="C33" s="473">
        <f t="shared" si="2"/>
        <v>69.388882387336182</v>
      </c>
      <c r="D33" s="473">
        <f t="shared" si="3"/>
        <v>15.290346163285632</v>
      </c>
      <c r="E33" s="473">
        <f t="shared" si="4"/>
        <v>26.630899396022148</v>
      </c>
      <c r="F33" s="473">
        <f t="shared" si="4"/>
        <v>241.33865030830665</v>
      </c>
      <c r="G33" s="473">
        <f t="shared" si="4"/>
        <v>344.29401644599005</v>
      </c>
      <c r="H33" s="207">
        <v>20</v>
      </c>
    </row>
    <row r="34" spans="1:11" x14ac:dyDescent="0.55000000000000004">
      <c r="A34" s="380" t="s">
        <v>48</v>
      </c>
      <c r="B34" s="375" t="s">
        <v>57</v>
      </c>
      <c r="C34" s="471">
        <f t="shared" si="2"/>
        <v>87.667447799733793</v>
      </c>
      <c r="D34" s="471">
        <f t="shared" si="3"/>
        <v>15.349749159279192</v>
      </c>
      <c r="E34" s="471">
        <f t="shared" si="4"/>
        <v>18.454274128408287</v>
      </c>
      <c r="F34" s="471">
        <f t="shared" si="4"/>
        <v>280.52864285836722</v>
      </c>
      <c r="G34" s="471">
        <f t="shared" si="4"/>
        <v>393.61289388657229</v>
      </c>
      <c r="H34" s="207">
        <v>20</v>
      </c>
    </row>
    <row r="35" spans="1:11" x14ac:dyDescent="0.55000000000000004">
      <c r="A35" s="385" t="s">
        <v>36</v>
      </c>
      <c r="B35" s="375" t="s">
        <v>57</v>
      </c>
      <c r="C35" s="474">
        <f t="shared" si="2"/>
        <v>100.90757835492688</v>
      </c>
      <c r="D35" s="474">
        <f t="shared" si="3"/>
        <v>17.482606667950197</v>
      </c>
      <c r="E35" s="474">
        <f t="shared" si="4"/>
        <v>18.454274128408287</v>
      </c>
      <c r="F35" s="474">
        <f t="shared" si="4"/>
        <v>280.52864285836716</v>
      </c>
      <c r="G35" s="474">
        <f t="shared" si="4"/>
        <v>407.82047233399567</v>
      </c>
      <c r="H35" s="207">
        <v>20</v>
      </c>
    </row>
    <row r="36" spans="1:11" x14ac:dyDescent="0.55000000000000004">
      <c r="A36" s="390" t="s">
        <v>37</v>
      </c>
      <c r="B36" s="375" t="s">
        <v>57</v>
      </c>
      <c r="C36" s="475">
        <f t="shared" si="2"/>
        <v>69.388882387336182</v>
      </c>
      <c r="D36" s="475">
        <f t="shared" si="3"/>
        <v>12.405248323350852</v>
      </c>
      <c r="E36" s="475">
        <f t="shared" si="4"/>
        <v>18.454274128408287</v>
      </c>
      <c r="F36" s="475">
        <f t="shared" si="4"/>
        <v>280.52864285836716</v>
      </c>
      <c r="G36" s="475">
        <f t="shared" si="4"/>
        <v>373.9987253615389</v>
      </c>
      <c r="H36" s="207">
        <v>20</v>
      </c>
    </row>
    <row r="37" spans="1:11" x14ac:dyDescent="0.55000000000000004">
      <c r="A37" s="401" t="s">
        <v>38</v>
      </c>
      <c r="B37" s="375" t="s">
        <v>57</v>
      </c>
      <c r="C37" s="471">
        <f t="shared" si="2"/>
        <v>18.538350858511301</v>
      </c>
      <c r="D37" s="471">
        <f t="shared" si="3"/>
        <v>15.349749159279192</v>
      </c>
      <c r="E37" s="471">
        <f t="shared" si="4"/>
        <v>18.454274128408287</v>
      </c>
      <c r="F37" s="471">
        <f t="shared" si="4"/>
        <v>280.52864285836722</v>
      </c>
      <c r="G37" s="471">
        <f t="shared" si="4"/>
        <v>324.48379694534981</v>
      </c>
      <c r="H37" s="207">
        <v>20</v>
      </c>
    </row>
    <row r="38" spans="1:11" x14ac:dyDescent="0.55000000000000004">
      <c r="A38" s="385" t="s">
        <v>36</v>
      </c>
      <c r="B38" s="375" t="s">
        <v>57</v>
      </c>
      <c r="C38" s="474">
        <f t="shared" si="2"/>
        <v>21.244812349697426</v>
      </c>
      <c r="D38" s="474">
        <f t="shared" si="3"/>
        <v>17.482606667950197</v>
      </c>
      <c r="E38" s="474">
        <f t="shared" si="4"/>
        <v>18.454274128408287</v>
      </c>
      <c r="F38" s="474">
        <f t="shared" si="4"/>
        <v>280.52864285836716</v>
      </c>
      <c r="G38" s="474">
        <f t="shared" si="4"/>
        <v>328.15770632876627</v>
      </c>
      <c r="H38" s="207">
        <v>20</v>
      </c>
    </row>
    <row r="39" spans="1:11" x14ac:dyDescent="0.55000000000000004">
      <c r="A39" s="390" t="s">
        <v>37</v>
      </c>
      <c r="B39" s="375" t="s">
        <v>57</v>
      </c>
      <c r="C39" s="475">
        <f t="shared" si="2"/>
        <v>14.801965239309281</v>
      </c>
      <c r="D39" s="475">
        <f t="shared" si="3"/>
        <v>12.405248323350852</v>
      </c>
      <c r="E39" s="475">
        <f t="shared" si="4"/>
        <v>18.454274128408287</v>
      </c>
      <c r="F39" s="475">
        <f t="shared" si="4"/>
        <v>280.52864285836716</v>
      </c>
      <c r="G39" s="475">
        <f t="shared" si="4"/>
        <v>319.41180821351202</v>
      </c>
      <c r="H39" s="207">
        <v>20</v>
      </c>
    </row>
    <row r="40" spans="1:11" x14ac:dyDescent="0.55000000000000004">
      <c r="A40" s="476"/>
      <c r="B40" s="10"/>
      <c r="C40" s="477"/>
      <c r="D40" s="474"/>
      <c r="E40" s="474"/>
      <c r="F40" s="474"/>
      <c r="G40" s="478"/>
      <c r="H40" s="207"/>
    </row>
    <row r="42" spans="1:11" ht="37.799999999999997" customHeight="1" x14ac:dyDescent="0.85">
      <c r="A42" s="518" t="s">
        <v>525</v>
      </c>
      <c r="B42" s="365"/>
      <c r="C42" s="462"/>
      <c r="D42" s="365"/>
      <c r="E42" s="365"/>
      <c r="F42" s="365"/>
      <c r="G42" s="365"/>
      <c r="H42" s="462"/>
      <c r="I42" s="365"/>
      <c r="J42" s="365"/>
      <c r="K42" s="365"/>
    </row>
    <row r="43" spans="1:11" s="420" customFormat="1" ht="28.8" x14ac:dyDescent="0.55000000000000004">
      <c r="A43" s="415" t="s">
        <v>26</v>
      </c>
      <c r="B43" s="416" t="s">
        <v>27</v>
      </c>
      <c r="C43" s="417" t="s">
        <v>90</v>
      </c>
      <c r="D43" s="417" t="s">
        <v>61</v>
      </c>
      <c r="E43" s="417" t="s">
        <v>62</v>
      </c>
      <c r="F43" s="417" t="s">
        <v>63</v>
      </c>
      <c r="G43" s="417" t="s">
        <v>64</v>
      </c>
      <c r="H43" s="417" t="s">
        <v>65</v>
      </c>
      <c r="I43" s="417" t="s">
        <v>31</v>
      </c>
      <c r="J43" s="418" t="s">
        <v>32</v>
      </c>
      <c r="K43" s="419" t="s">
        <v>41</v>
      </c>
    </row>
    <row r="44" spans="1:11" x14ac:dyDescent="0.55000000000000004">
      <c r="A44" s="413" t="s">
        <v>34</v>
      </c>
      <c r="B44" s="381" t="s">
        <v>35</v>
      </c>
      <c r="C44" s="421">
        <f>SUM('GREET 2023_20-yr'!C171:C172)</f>
        <v>16705.982568936786</v>
      </c>
      <c r="D44" s="422">
        <f>'GREET 2023_20-yr'!C173</f>
        <v>9375.2566872121624</v>
      </c>
      <c r="E44" s="422">
        <f>'GREET 2023_20-yr'!C174</f>
        <v>5029.5750403146258</v>
      </c>
      <c r="F44" s="422">
        <f>'GREET 2023_20-yr'!C175</f>
        <v>1800.9949642669244</v>
      </c>
      <c r="G44" s="422">
        <f>'GREET 2023_20-yr'!C176</f>
        <v>2409.4314112167867</v>
      </c>
      <c r="H44" s="421">
        <f>'GREET 2023_20-yr'!C177</f>
        <v>696.72944801525909</v>
      </c>
      <c r="I44" s="422">
        <f>'GREET 2023_20-yr'!S87/'GREET 2023_20-yr'!F30*10^6</f>
        <v>54313.732558986114</v>
      </c>
      <c r="J44" s="423">
        <f>SUM(C44:I44)</f>
        <v>90331.702678948655</v>
      </c>
      <c r="K44" s="424" t="s">
        <v>66</v>
      </c>
    </row>
    <row r="45" spans="1:11" ht="28.8" x14ac:dyDescent="0.55000000000000004">
      <c r="A45" s="413" t="s">
        <v>67</v>
      </c>
      <c r="B45" s="381" t="s">
        <v>35</v>
      </c>
      <c r="C45" s="425">
        <f>'RMI_OCI+_20-yr'!H40</f>
        <v>14900.888977185712</v>
      </c>
      <c r="D45" s="426" t="s">
        <v>68</v>
      </c>
      <c r="E45" s="426">
        <f>'RMI_OCI+_20-yr'!F40</f>
        <v>12357.727270236819</v>
      </c>
      <c r="F45" s="426" t="s">
        <v>68</v>
      </c>
      <c r="G45" s="426" t="s">
        <v>68</v>
      </c>
      <c r="H45" s="426" t="s">
        <v>68</v>
      </c>
      <c r="I45" s="426">
        <f>'RMI_OCI+_20-yr'!G40</f>
        <v>58121.662503367748</v>
      </c>
      <c r="J45" s="427">
        <f>SUM(C45,E45,I45)</f>
        <v>85380.278750790283</v>
      </c>
      <c r="K45" s="424" t="s">
        <v>86</v>
      </c>
    </row>
    <row r="46" spans="1:11" ht="28.8" x14ac:dyDescent="0.55000000000000004">
      <c r="A46" s="413" t="s">
        <v>70</v>
      </c>
      <c r="B46" s="381" t="s">
        <v>35</v>
      </c>
      <c r="C46" s="425">
        <f>'RMI_OCI+_20-yr'!H45</f>
        <v>12008.216857308755</v>
      </c>
      <c r="D46" s="426" t="s">
        <v>68</v>
      </c>
      <c r="E46" s="426">
        <f>'RMI_OCI+_20-yr'!F45</f>
        <v>15013.69958783965</v>
      </c>
      <c r="F46" s="426" t="s">
        <v>68</v>
      </c>
      <c r="G46" s="426" t="s">
        <v>68</v>
      </c>
      <c r="H46" s="426" t="s">
        <v>68</v>
      </c>
      <c r="I46" s="426">
        <f>'RMI_OCI+_20-yr'!G45</f>
        <v>63610.776654408517</v>
      </c>
      <c r="J46" s="427">
        <f>SUM(C46,E46,I46)</f>
        <v>90632.693099556927</v>
      </c>
      <c r="K46" s="424" t="s">
        <v>87</v>
      </c>
    </row>
    <row r="47" spans="1:11" x14ac:dyDescent="0.55000000000000004">
      <c r="A47" s="413" t="s">
        <v>72</v>
      </c>
      <c r="B47" s="381" t="s">
        <v>35</v>
      </c>
      <c r="C47" s="426">
        <f>'RMI_OCI+_20-yr'!H40*'GREET 2023_20-yr'!$D$172</f>
        <v>15170.772091241597</v>
      </c>
      <c r="D47" s="422">
        <f t="shared" ref="D47:I47" si="5">D44</f>
        <v>9375.2566872121624</v>
      </c>
      <c r="E47" s="422">
        <f t="shared" si="5"/>
        <v>5029.5750403146258</v>
      </c>
      <c r="F47" s="422">
        <f t="shared" si="5"/>
        <v>1800.9949642669244</v>
      </c>
      <c r="G47" s="422">
        <f t="shared" si="5"/>
        <v>2409.4314112167867</v>
      </c>
      <c r="H47" s="421">
        <f t="shared" si="5"/>
        <v>696.72944801525909</v>
      </c>
      <c r="I47" s="422">
        <f t="shared" si="5"/>
        <v>54313.732558986114</v>
      </c>
      <c r="J47" s="423">
        <f>SUM(C47:I47)</f>
        <v>88796.492201253466</v>
      </c>
      <c r="K47" s="548" t="s">
        <v>73</v>
      </c>
    </row>
    <row r="48" spans="1:11" x14ac:dyDescent="0.55000000000000004">
      <c r="A48" s="413" t="s">
        <v>74</v>
      </c>
      <c r="B48" s="381" t="s">
        <v>35</v>
      </c>
      <c r="C48" s="426">
        <f>'RMI_OCI+_20-yr'!H45*'GREET 2023_20-yr'!$D$172</f>
        <v>12225.708240854447</v>
      </c>
      <c r="D48" s="422">
        <f>D44</f>
        <v>9375.2566872121624</v>
      </c>
      <c r="E48" s="422">
        <f>'GREET 2023_100-yr'!D336/5000*E44</f>
        <v>2841.8757731625928</v>
      </c>
      <c r="F48" s="422">
        <f>F44</f>
        <v>1800.9949642669244</v>
      </c>
      <c r="G48" s="422">
        <f>G44</f>
        <v>2409.4314112167867</v>
      </c>
      <c r="H48" s="422">
        <f>H44</f>
        <v>696.72944801525909</v>
      </c>
      <c r="I48" s="422">
        <f>I44</f>
        <v>54313.732558986114</v>
      </c>
      <c r="J48" s="423">
        <f>SUM(C48:I48)</f>
        <v>83663.729083714279</v>
      </c>
      <c r="K48" s="549"/>
    </row>
    <row r="49" spans="1:12" ht="28.8" x14ac:dyDescent="0.55000000000000004">
      <c r="A49" s="413" t="s">
        <v>75</v>
      </c>
      <c r="B49" s="381" t="s">
        <v>35</v>
      </c>
      <c r="C49" s="428">
        <f>SUM('GREET 2023_20-yr'!C201:C202)</f>
        <v>26117.492105251265</v>
      </c>
      <c r="D49" s="429">
        <f>'GREET 2023_20-yr'!C203</f>
        <v>10232.548220469367</v>
      </c>
      <c r="E49" s="429">
        <f>'GREET 2023_20-yr'!C204</f>
        <v>5099.0623029371563</v>
      </c>
      <c r="F49" s="429">
        <f>'GREET 2023_20-yr'!C205</f>
        <v>1800.9149858935564</v>
      </c>
      <c r="G49" s="429">
        <f>'GREET 2023_20-yr'!C206</f>
        <v>2414.5264437882606</v>
      </c>
      <c r="H49" s="430">
        <f>'GREET 2023_20-yr'!C207</f>
        <v>641.47839936206572</v>
      </c>
      <c r="I49" s="429">
        <f>I47</f>
        <v>54313.732558986114</v>
      </c>
      <c r="J49" s="431">
        <f>SUM(C49:I49)</f>
        <v>100619.75501668779</v>
      </c>
      <c r="K49" s="424" t="s">
        <v>76</v>
      </c>
    </row>
    <row r="50" spans="1:12" x14ac:dyDescent="0.55000000000000004">
      <c r="A50" s="504"/>
      <c r="C50" s="519"/>
      <c r="D50" s="520"/>
      <c r="E50" s="520"/>
      <c r="F50" s="520"/>
      <c r="G50" s="520"/>
      <c r="H50" s="521"/>
      <c r="I50" s="520"/>
      <c r="J50" s="522"/>
      <c r="K50" s="508"/>
    </row>
    <row r="51" spans="1:12" x14ac:dyDescent="0.55000000000000004">
      <c r="A51" s="465" t="s">
        <v>465</v>
      </c>
      <c r="B51" s="479"/>
      <c r="C51" s="480"/>
      <c r="D51" s="479"/>
      <c r="E51" s="479"/>
      <c r="F51" s="479"/>
      <c r="G51" s="479"/>
      <c r="H51" s="480"/>
      <c r="I51" s="479"/>
      <c r="J51" s="479"/>
      <c r="K51" s="479"/>
    </row>
    <row r="52" spans="1:12" x14ac:dyDescent="0.55000000000000004">
      <c r="A52" s="413" t="s">
        <v>34</v>
      </c>
      <c r="B52" s="481" t="s">
        <v>88</v>
      </c>
      <c r="C52" s="438">
        <f>C44/10^3</f>
        <v>16.705982568936786</v>
      </c>
      <c r="D52" s="482">
        <f t="shared" ref="D52:J52" si="6">D44/10^3</f>
        <v>9.375256687212163</v>
      </c>
      <c r="E52" s="482">
        <f t="shared" si="6"/>
        <v>5.0295750403146258</v>
      </c>
      <c r="F52" s="482">
        <f t="shared" si="6"/>
        <v>1.8009949642669243</v>
      </c>
      <c r="G52" s="482">
        <f t="shared" si="6"/>
        <v>2.4094314112167869</v>
      </c>
      <c r="H52" s="438">
        <f t="shared" si="6"/>
        <v>0.69672944801525905</v>
      </c>
      <c r="I52" s="482">
        <f t="shared" si="6"/>
        <v>54.313732558986111</v>
      </c>
      <c r="J52" s="483">
        <f t="shared" si="6"/>
        <v>90.331702678948659</v>
      </c>
      <c r="K52" s="424" t="s">
        <v>66</v>
      </c>
    </row>
    <row r="53" spans="1:12" ht="60" x14ac:dyDescent="0.55000000000000004">
      <c r="A53" s="413" t="s">
        <v>67</v>
      </c>
      <c r="B53" s="481" t="s">
        <v>88</v>
      </c>
      <c r="C53" s="439">
        <f t="shared" ref="C53:J57" si="7">C45/10^3</f>
        <v>14.900888977185712</v>
      </c>
      <c r="D53" s="426" t="s">
        <v>68</v>
      </c>
      <c r="E53" s="484">
        <f t="shared" si="7"/>
        <v>12.357727270236818</v>
      </c>
      <c r="F53" s="484" t="s">
        <v>68</v>
      </c>
      <c r="G53" s="484" t="s">
        <v>68</v>
      </c>
      <c r="H53" s="484" t="s">
        <v>68</v>
      </c>
      <c r="I53" s="484">
        <f t="shared" si="7"/>
        <v>58.121662503367752</v>
      </c>
      <c r="J53" s="485" t="s">
        <v>68</v>
      </c>
      <c r="K53" s="424" t="s">
        <v>86</v>
      </c>
      <c r="L53" s="486" t="s">
        <v>480</v>
      </c>
    </row>
    <row r="54" spans="1:12" ht="28.8" x14ac:dyDescent="0.55000000000000004">
      <c r="A54" s="413" t="s">
        <v>70</v>
      </c>
      <c r="B54" s="481" t="s">
        <v>88</v>
      </c>
      <c r="C54" s="439">
        <f t="shared" si="7"/>
        <v>12.008216857308755</v>
      </c>
      <c r="D54" s="426" t="s">
        <v>68</v>
      </c>
      <c r="E54" s="484">
        <f t="shared" si="7"/>
        <v>15.01369958783965</v>
      </c>
      <c r="F54" s="484" t="s">
        <v>68</v>
      </c>
      <c r="G54" s="484" t="s">
        <v>68</v>
      </c>
      <c r="H54" s="484" t="s">
        <v>68</v>
      </c>
      <c r="I54" s="484">
        <f t="shared" si="7"/>
        <v>63.610776654408518</v>
      </c>
      <c r="J54" s="485" t="s">
        <v>68</v>
      </c>
      <c r="K54" s="424" t="s">
        <v>87</v>
      </c>
      <c r="L54" s="487"/>
    </row>
    <row r="55" spans="1:12" ht="15" x14ac:dyDescent="0.55000000000000004">
      <c r="A55" s="413" t="s">
        <v>72</v>
      </c>
      <c r="B55" s="481" t="s">
        <v>88</v>
      </c>
      <c r="C55" s="484">
        <f t="shared" si="7"/>
        <v>15.170772091241597</v>
      </c>
      <c r="D55" s="482">
        <f t="shared" si="7"/>
        <v>9.375256687212163</v>
      </c>
      <c r="E55" s="482">
        <f t="shared" si="7"/>
        <v>5.0295750403146258</v>
      </c>
      <c r="F55" s="482">
        <f t="shared" si="7"/>
        <v>1.8009949642669243</v>
      </c>
      <c r="G55" s="482">
        <f t="shared" si="7"/>
        <v>2.4094314112167869</v>
      </c>
      <c r="H55" s="438">
        <f t="shared" si="7"/>
        <v>0.69672944801525905</v>
      </c>
      <c r="I55" s="482">
        <f t="shared" si="7"/>
        <v>54.313732558986111</v>
      </c>
      <c r="J55" s="483">
        <f t="shared" si="7"/>
        <v>88.796492201253471</v>
      </c>
      <c r="K55" s="548" t="s">
        <v>73</v>
      </c>
      <c r="L55" s="488" t="s">
        <v>470</v>
      </c>
    </row>
    <row r="56" spans="1:12" ht="28.8" x14ac:dyDescent="0.55000000000000004">
      <c r="A56" s="413" t="s">
        <v>74</v>
      </c>
      <c r="B56" s="481" t="s">
        <v>88</v>
      </c>
      <c r="C56" s="484">
        <f t="shared" si="7"/>
        <v>12.225708240854447</v>
      </c>
      <c r="D56" s="482">
        <f t="shared" si="7"/>
        <v>9.375256687212163</v>
      </c>
      <c r="E56" s="482">
        <f t="shared" si="7"/>
        <v>2.841875773162593</v>
      </c>
      <c r="F56" s="482">
        <f t="shared" si="7"/>
        <v>1.8009949642669243</v>
      </c>
      <c r="G56" s="482">
        <f t="shared" si="7"/>
        <v>2.4094314112167869</v>
      </c>
      <c r="H56" s="482">
        <f t="shared" si="7"/>
        <v>0.69672944801525905</v>
      </c>
      <c r="I56" s="482">
        <f t="shared" si="7"/>
        <v>54.313732558986111</v>
      </c>
      <c r="J56" s="483">
        <f t="shared" si="7"/>
        <v>83.663729083714273</v>
      </c>
      <c r="K56" s="549"/>
      <c r="L56" s="489" t="s">
        <v>471</v>
      </c>
    </row>
    <row r="57" spans="1:12" ht="28.8" x14ac:dyDescent="0.55000000000000004">
      <c r="A57" s="413" t="s">
        <v>75</v>
      </c>
      <c r="B57" s="481" t="s">
        <v>88</v>
      </c>
      <c r="C57" s="490">
        <f t="shared" si="7"/>
        <v>26.117492105251266</v>
      </c>
      <c r="D57" s="491">
        <f t="shared" si="7"/>
        <v>10.232548220469367</v>
      </c>
      <c r="E57" s="491">
        <f t="shared" si="7"/>
        <v>5.0990623029371562</v>
      </c>
      <c r="F57" s="491">
        <f t="shared" si="7"/>
        <v>1.8009149858935565</v>
      </c>
      <c r="G57" s="491">
        <f t="shared" si="7"/>
        <v>2.4145264437882608</v>
      </c>
      <c r="H57" s="440">
        <f t="shared" si="7"/>
        <v>0.64147839936206574</v>
      </c>
      <c r="I57" s="491">
        <f t="shared" si="7"/>
        <v>54.313732558986111</v>
      </c>
      <c r="J57" s="492">
        <f t="shared" si="7"/>
        <v>100.61975501668779</v>
      </c>
      <c r="K57" s="424" t="s">
        <v>76</v>
      </c>
      <c r="L57" s="493" t="s">
        <v>472</v>
      </c>
    </row>
    <row r="58" spans="1:12" ht="28.8" x14ac:dyDescent="0.55000000000000004">
      <c r="L58" s="489" t="s">
        <v>473</v>
      </c>
    </row>
    <row r="59" spans="1:12" ht="15" x14ac:dyDescent="0.55000000000000004">
      <c r="A59" s="10" t="s">
        <v>469</v>
      </c>
      <c r="L59" s="488" t="s">
        <v>474</v>
      </c>
    </row>
    <row r="60" spans="1:12" ht="30" x14ac:dyDescent="0.55000000000000004">
      <c r="A60" s="435" t="s">
        <v>78</v>
      </c>
      <c r="B60" s="436">
        <f>'GREET 2023_20-yr'!F30</f>
        <v>2246145.3048437429</v>
      </c>
      <c r="L60" s="493" t="s">
        <v>475</v>
      </c>
    </row>
    <row r="61" spans="1:12" ht="28.8" x14ac:dyDescent="0.55000000000000004">
      <c r="A61" s="415" t="s">
        <v>26</v>
      </c>
      <c r="B61" s="416" t="s">
        <v>27</v>
      </c>
      <c r="C61" s="417" t="s">
        <v>90</v>
      </c>
      <c r="D61" s="417" t="s">
        <v>61</v>
      </c>
      <c r="E61" s="417" t="s">
        <v>62</v>
      </c>
      <c r="F61" s="417" t="s">
        <v>63</v>
      </c>
      <c r="G61" s="417" t="s">
        <v>64</v>
      </c>
      <c r="H61" s="417" t="s">
        <v>65</v>
      </c>
      <c r="I61" s="417" t="s">
        <v>31</v>
      </c>
      <c r="J61" s="418" t="s">
        <v>32</v>
      </c>
      <c r="K61" s="437" t="s">
        <v>40</v>
      </c>
      <c r="L61" s="489" t="s">
        <v>476</v>
      </c>
    </row>
    <row r="62" spans="1:12" ht="15" x14ac:dyDescent="0.55000000000000004">
      <c r="A62" s="374" t="s">
        <v>56</v>
      </c>
      <c r="B62" s="395" t="s">
        <v>57</v>
      </c>
      <c r="C62" s="482">
        <f t="shared" ref="C62:J62" si="8">C44*$B$60/10^6*g2kg</f>
        <v>37.524064310018773</v>
      </c>
      <c r="D62" s="482">
        <f t="shared" si="8"/>
        <v>21.058188789686501</v>
      </c>
      <c r="E62" s="482">
        <f t="shared" si="8"/>
        <v>11.297156362161976</v>
      </c>
      <c r="F62" s="482">
        <f t="shared" si="8"/>
        <v>4.0452963830353763</v>
      </c>
      <c r="G62" s="482">
        <f t="shared" si="8"/>
        <v>5.4119330516476198</v>
      </c>
      <c r="H62" s="482">
        <f t="shared" si="8"/>
        <v>1.5649555784058469</v>
      </c>
      <c r="I62" s="482">
        <f t="shared" si="8"/>
        <v>121.99653537590538</v>
      </c>
      <c r="J62" s="482">
        <f t="shared" si="8"/>
        <v>202.89812985086147</v>
      </c>
      <c r="K62" s="207">
        <v>20</v>
      </c>
      <c r="L62" s="488" t="s">
        <v>477</v>
      </c>
    </row>
    <row r="63" spans="1:12" ht="30" x14ac:dyDescent="0.55000000000000004">
      <c r="A63" s="413" t="s">
        <v>67</v>
      </c>
      <c r="B63" s="395" t="s">
        <v>57</v>
      </c>
      <c r="C63" s="484">
        <f>C45*$B$60/10^6*g2kg</f>
        <v>33.469561814103564</v>
      </c>
      <c r="D63" s="484" t="s">
        <v>68</v>
      </c>
      <c r="E63" s="484">
        <f>E45*$B$60/10^6*g2kg</f>
        <v>27.757251086581913</v>
      </c>
      <c r="F63" s="484" t="s">
        <v>68</v>
      </c>
      <c r="G63" s="484" t="s">
        <v>68</v>
      </c>
      <c r="H63" s="439" t="s">
        <v>68</v>
      </c>
      <c r="I63" s="439">
        <f t="shared" ref="I63:J67" si="9">I45*$B$60/10^6*g2kg</f>
        <v>130.54969934165209</v>
      </c>
      <c r="J63" s="439">
        <f t="shared" si="9"/>
        <v>191.77651224233759</v>
      </c>
      <c r="K63" s="207">
        <v>20</v>
      </c>
      <c r="L63" s="493" t="s">
        <v>478</v>
      </c>
    </row>
    <row r="64" spans="1:12" ht="30" x14ac:dyDescent="0.55000000000000004">
      <c r="A64" s="413" t="s">
        <v>70</v>
      </c>
      <c r="B64" s="395" t="s">
        <v>57</v>
      </c>
      <c r="C64" s="484">
        <f>C46*$B$60/10^6*g2kg</f>
        <v>26.972199913589545</v>
      </c>
      <c r="D64" s="484" t="s">
        <v>68</v>
      </c>
      <c r="E64" s="484">
        <f>E46*$B$60/10^6*g2kg</f>
        <v>33.722950837560461</v>
      </c>
      <c r="F64" s="484" t="s">
        <v>68</v>
      </c>
      <c r="G64" s="484" t="s">
        <v>68</v>
      </c>
      <c r="H64" s="439" t="s">
        <v>68</v>
      </c>
      <c r="I64" s="439">
        <f t="shared" si="9"/>
        <v>142.87904731976366</v>
      </c>
      <c r="J64" s="439">
        <f t="shared" si="9"/>
        <v>203.5741980709137</v>
      </c>
      <c r="K64" s="207">
        <v>20</v>
      </c>
      <c r="L64" s="493" t="s">
        <v>479</v>
      </c>
    </row>
    <row r="65" spans="1:11" x14ac:dyDescent="0.55000000000000004">
      <c r="A65" s="413" t="s">
        <v>72</v>
      </c>
      <c r="B65" s="395" t="s">
        <v>57</v>
      </c>
      <c r="C65" s="484">
        <f>C47*$B$60/10^6*g2kg</f>
        <v>34.075758503596802</v>
      </c>
      <c r="D65" s="482">
        <f>D47*$B$60/10^6*g2kg</f>
        <v>21.058188789686501</v>
      </c>
      <c r="E65" s="482">
        <f>E47*$B$60/10^6*g2kg</f>
        <v>11.297156362161976</v>
      </c>
      <c r="F65" s="482">
        <f>F47*$B$60/10^6*g2kg</f>
        <v>4.0452963830353763</v>
      </c>
      <c r="G65" s="482">
        <f t="shared" ref="G65:H67" si="10">G47*$B$60/10^6*g2lb</f>
        <v>11.931270033593421</v>
      </c>
      <c r="H65" s="482">
        <f t="shared" si="10"/>
        <v>3.4501364703419655</v>
      </c>
      <c r="I65" s="482">
        <f t="shared" si="9"/>
        <v>121.99653537590538</v>
      </c>
      <c r="J65" s="482">
        <f t="shared" si="9"/>
        <v>199.44982404443951</v>
      </c>
      <c r="K65" s="207">
        <v>20</v>
      </c>
    </row>
    <row r="66" spans="1:11" x14ac:dyDescent="0.55000000000000004">
      <c r="A66" s="413" t="s">
        <v>74</v>
      </c>
      <c r="B66" s="395" t="s">
        <v>57</v>
      </c>
      <c r="C66" s="484">
        <f>C48*$B$60/10^6*g2kg</f>
        <v>27.460717163584672</v>
      </c>
      <c r="D66" s="482">
        <f>D48*$B$60/10^6*g2kg</f>
        <v>21.058188789686501</v>
      </c>
      <c r="E66" s="482">
        <f>E48*$B$60/10^6*g2kg</f>
        <v>6.3832659248383399</v>
      </c>
      <c r="F66" s="482">
        <f>F48*$B$60/10^6*g2kg</f>
        <v>4.0452963830353763</v>
      </c>
      <c r="G66" s="482">
        <f t="shared" si="10"/>
        <v>11.931270033593421</v>
      </c>
      <c r="H66" s="482">
        <f t="shared" si="10"/>
        <v>3.4501364703419655</v>
      </c>
      <c r="I66" s="482">
        <f t="shared" si="9"/>
        <v>121.99653537590538</v>
      </c>
      <c r="J66" s="482">
        <f t="shared" si="9"/>
        <v>187.92089226710374</v>
      </c>
      <c r="K66" s="207">
        <v>20</v>
      </c>
    </row>
    <row r="67" spans="1:11" x14ac:dyDescent="0.55000000000000004">
      <c r="A67" s="413" t="s">
        <v>75</v>
      </c>
      <c r="B67" s="395" t="s">
        <v>57</v>
      </c>
      <c r="C67" s="491">
        <f>C49*$B$60/10^6*g2kg</f>
        <v>58.663682266503656</v>
      </c>
      <c r="D67" s="491">
        <f>D49*$B$60/10^6*g2kg</f>
        <v>22.983790141994465</v>
      </c>
      <c r="E67" s="491">
        <f>E49*$B$60/10^6*g2kg</f>
        <v>11.453234850848018</v>
      </c>
      <c r="F67" s="491">
        <f>F49*$B$60/10^6*g2kg</f>
        <v>4.0451167399875469</v>
      </c>
      <c r="G67" s="491">
        <f t="shared" si="10"/>
        <v>11.956500139400626</v>
      </c>
      <c r="H67" s="491">
        <f t="shared" si="10"/>
        <v>3.1765386505195918</v>
      </c>
      <c r="I67" s="491">
        <f t="shared" si="9"/>
        <v>121.99653537590538</v>
      </c>
      <c r="J67" s="491">
        <f t="shared" si="9"/>
        <v>226.00659030526094</v>
      </c>
      <c r="K67" s="207">
        <v>20</v>
      </c>
    </row>
    <row r="70" spans="1:11" x14ac:dyDescent="0.55000000000000004">
      <c r="A70" s="441" t="s">
        <v>79</v>
      </c>
      <c r="B70" s="365"/>
      <c r="C70" s="462"/>
      <c r="D70" s="365"/>
      <c r="E70" s="365"/>
      <c r="F70" s="365"/>
      <c r="G70" s="365"/>
      <c r="H70" s="462"/>
      <c r="I70" s="365"/>
      <c r="J70" s="365"/>
      <c r="K70" s="365"/>
    </row>
    <row r="72" spans="1:11" x14ac:dyDescent="0.55000000000000004">
      <c r="A72" s="442" t="s">
        <v>481</v>
      </c>
      <c r="B72" s="442" t="s">
        <v>25</v>
      </c>
      <c r="C72" s="419" t="s">
        <v>81</v>
      </c>
      <c r="D72" s="407" t="s">
        <v>82</v>
      </c>
    </row>
    <row r="73" spans="1:11" x14ac:dyDescent="0.55000000000000004">
      <c r="A73" s="170" t="s">
        <v>56</v>
      </c>
      <c r="B73" s="171">
        <f>G30</f>
        <v>344.4996253114582</v>
      </c>
      <c r="C73" s="443">
        <f>J62</f>
        <v>202.89812985086147</v>
      </c>
      <c r="D73" s="172">
        <f>C73/B73-1</f>
        <v>-0.41103526696894499</v>
      </c>
    </row>
    <row r="74" spans="1:11" x14ac:dyDescent="0.55000000000000004">
      <c r="A74" s="444" t="s">
        <v>23</v>
      </c>
      <c r="B74" s="445">
        <f>G31</f>
        <v>368.86929649399121</v>
      </c>
      <c r="C74" s="446"/>
      <c r="D74" s="252"/>
    </row>
    <row r="75" spans="1:11" x14ac:dyDescent="0.55000000000000004">
      <c r="A75" s="447" t="s">
        <v>67</v>
      </c>
      <c r="B75" s="448"/>
      <c r="C75" s="449">
        <f>J63</f>
        <v>191.77651224233759</v>
      </c>
      <c r="D75" s="253">
        <f>C75/B74-1</f>
        <v>-0.48009629951550714</v>
      </c>
    </row>
    <row r="76" spans="1:11" x14ac:dyDescent="0.55000000000000004">
      <c r="A76" s="450" t="s">
        <v>70</v>
      </c>
      <c r="B76" s="451"/>
      <c r="C76" s="452">
        <f>J64</f>
        <v>203.5741980709137</v>
      </c>
      <c r="D76" s="254">
        <f>C76/B74-1</f>
        <v>-0.44811292236617517</v>
      </c>
    </row>
    <row r="77" spans="1:11" x14ac:dyDescent="0.55000000000000004">
      <c r="A77" s="444" t="s">
        <v>48</v>
      </c>
      <c r="B77" s="445">
        <f>G34</f>
        <v>393.61289388657229</v>
      </c>
      <c r="C77" s="446"/>
      <c r="D77" s="252"/>
    </row>
    <row r="78" spans="1:11" x14ac:dyDescent="0.55000000000000004">
      <c r="A78" s="447" t="s">
        <v>72</v>
      </c>
      <c r="B78" s="448"/>
      <c r="C78" s="449">
        <f>J65</f>
        <v>199.44982404443951</v>
      </c>
      <c r="D78" s="253">
        <f>C78/B77-1</f>
        <v>-0.49328432289132507</v>
      </c>
    </row>
    <row r="79" spans="1:11" x14ac:dyDescent="0.55000000000000004">
      <c r="A79" s="450" t="s">
        <v>74</v>
      </c>
      <c r="B79" s="451"/>
      <c r="C79" s="452">
        <f>J66</f>
        <v>187.92089226710374</v>
      </c>
      <c r="D79" s="254">
        <f>C79/B77-1</f>
        <v>-0.52257434859017338</v>
      </c>
    </row>
    <row r="80" spans="1:11" x14ac:dyDescent="0.55000000000000004">
      <c r="A80" s="453" t="s">
        <v>38</v>
      </c>
      <c r="B80" s="445">
        <f>G37</f>
        <v>324.48379694534981</v>
      </c>
      <c r="C80" s="446"/>
      <c r="D80" s="252"/>
    </row>
    <row r="81" spans="1:4" x14ac:dyDescent="0.55000000000000004">
      <c r="A81" s="457" t="s">
        <v>75</v>
      </c>
      <c r="B81" s="451"/>
      <c r="C81" s="452">
        <f>J67</f>
        <v>226.00659030526094</v>
      </c>
      <c r="D81" s="254">
        <f>C81/B80-1</f>
        <v>-0.30348882615138584</v>
      </c>
    </row>
    <row r="84" spans="1:4" x14ac:dyDescent="0.55000000000000004">
      <c r="A84" s="420"/>
      <c r="B84" s="420"/>
    </row>
    <row r="85" spans="1:4" x14ac:dyDescent="0.55000000000000004">
      <c r="A85" s="420"/>
      <c r="B85" s="420"/>
    </row>
    <row r="86" spans="1:4" x14ac:dyDescent="0.55000000000000004">
      <c r="A86" s="420"/>
      <c r="B86" s="420"/>
    </row>
    <row r="87" spans="1:4" x14ac:dyDescent="0.55000000000000004">
      <c r="A87" s="420"/>
      <c r="B87" s="420"/>
    </row>
    <row r="88" spans="1:4" x14ac:dyDescent="0.55000000000000004">
      <c r="A88" s="420"/>
      <c r="B88" s="420"/>
    </row>
    <row r="89" spans="1:4" x14ac:dyDescent="0.55000000000000004">
      <c r="A89" s="420"/>
      <c r="B89" s="420"/>
    </row>
    <row r="90" spans="1:4" x14ac:dyDescent="0.55000000000000004">
      <c r="A90" s="420"/>
      <c r="B90" s="420"/>
    </row>
    <row r="91" spans="1:4" x14ac:dyDescent="0.55000000000000004">
      <c r="A91" s="420"/>
      <c r="B91" s="420"/>
    </row>
    <row r="92" spans="1:4" x14ac:dyDescent="0.55000000000000004">
      <c r="A92" s="420"/>
      <c r="B92" s="420"/>
    </row>
    <row r="93" spans="1:4" x14ac:dyDescent="0.55000000000000004">
      <c r="A93" s="420"/>
      <c r="B93" s="420"/>
    </row>
    <row r="94" spans="1:4" x14ac:dyDescent="0.55000000000000004">
      <c r="A94" s="420"/>
      <c r="B94" s="420"/>
    </row>
    <row r="95" spans="1:4" x14ac:dyDescent="0.55000000000000004">
      <c r="A95" s="420"/>
      <c r="B95" s="420"/>
    </row>
    <row r="96" spans="1:4" x14ac:dyDescent="0.55000000000000004">
      <c r="A96" s="420"/>
      <c r="B96" s="420"/>
    </row>
  </sheetData>
  <mergeCells count="5">
    <mergeCell ref="K18:K20"/>
    <mergeCell ref="K21:K23"/>
    <mergeCell ref="K24:K26"/>
    <mergeCell ref="K47:K48"/>
    <mergeCell ref="K55:K56"/>
  </mergeCells>
  <hyperlinks>
    <hyperlink ref="L56" r:id="rId1" display="https://globalenergymonitor.org/projects/global-fossil-infrastructure-tracker/tracker-map/" xr:uid="{05D2E920-BF0D-491F-A20E-E12350F7D80F}"/>
    <hyperlink ref="L58" r:id="rId2" display="https://www.gem.wiki/Nuevo_Teapa-Venta_de_Carpio_Oil_Pipeline" xr:uid="{D15C127C-D794-431B-9C52-8B14C3E9CEBE}"/>
    <hyperlink ref="L61" r:id="rId3" display="https://en.wikipedia.org/wiki/Maghreb%E2%80%93Europe_Gas_Pipeline" xr:uid="{FA89A28E-6A5F-47A2-9528-A7EBC3EB0E2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A104-DA06-445C-995E-F8C96EC7995C}">
  <sheetPr>
    <tabColor rgb="FF00B0F0"/>
  </sheetPr>
  <dimension ref="A1:G33"/>
  <sheetViews>
    <sheetView topLeftCell="A10" workbookViewId="0">
      <selection activeCell="A26" sqref="A26:XFD26"/>
    </sheetView>
  </sheetViews>
  <sheetFormatPr defaultRowHeight="14.4" x14ac:dyDescent="0.55000000000000004"/>
  <cols>
    <col min="1" max="1" width="38.41796875" bestFit="1" customWidth="1"/>
    <col min="2" max="2" width="33.83984375" bestFit="1" customWidth="1"/>
    <col min="3" max="3" width="34.41796875" bestFit="1" customWidth="1"/>
    <col min="5" max="5" width="21.26171875" customWidth="1"/>
    <col min="6" max="6" width="23.15625" customWidth="1"/>
    <col min="7" max="7" width="25" bestFit="1" customWidth="1"/>
  </cols>
  <sheetData>
    <row r="1" spans="1:7" x14ac:dyDescent="0.55000000000000004">
      <c r="A1" s="273">
        <v>20</v>
      </c>
      <c r="B1" s="326" t="s">
        <v>487</v>
      </c>
      <c r="C1" s="326" t="s">
        <v>488</v>
      </c>
      <c r="E1" s="348" t="s">
        <v>503</v>
      </c>
      <c r="F1" s="349"/>
      <c r="G1" s="349"/>
    </row>
    <row r="2" spans="1:7" x14ac:dyDescent="0.55000000000000004">
      <c r="A2" s="343" t="s">
        <v>43</v>
      </c>
      <c r="B2" s="201"/>
      <c r="C2" s="201"/>
      <c r="F2" s="201" t="s">
        <v>496</v>
      </c>
      <c r="G2" s="201" t="s">
        <v>497</v>
      </c>
    </row>
    <row r="3" spans="1:7" x14ac:dyDescent="0.55000000000000004">
      <c r="A3" s="284" t="s">
        <v>29</v>
      </c>
      <c r="B3" s="195">
        <v>2.115488440059127</v>
      </c>
      <c r="C3" s="195">
        <v>6.9233613260301707</v>
      </c>
      <c r="E3" s="201" t="s">
        <v>499</v>
      </c>
      <c r="F3" s="195">
        <v>109.63101736908523</v>
      </c>
      <c r="G3" s="195">
        <v>358.78955016424123</v>
      </c>
    </row>
    <row r="4" spans="1:7" x14ac:dyDescent="0.55000000000000004">
      <c r="A4" s="284" t="s">
        <v>30</v>
      </c>
      <c r="B4" s="195">
        <v>6.1541220755809416</v>
      </c>
      <c r="C4" s="195">
        <v>20.140602031630465</v>
      </c>
      <c r="E4" s="201" t="s">
        <v>500</v>
      </c>
      <c r="F4" s="195">
        <v>96.094561455388543</v>
      </c>
      <c r="G4" s="195">
        <v>220.82581454037259</v>
      </c>
    </row>
    <row r="5" spans="1:7" x14ac:dyDescent="0.55000000000000004">
      <c r="A5" s="284" t="s">
        <v>28</v>
      </c>
      <c r="B5" s="195">
        <v>18.600773655877287</v>
      </c>
      <c r="C5" s="195">
        <v>60.874772239238666</v>
      </c>
      <c r="E5" s="201" t="s">
        <v>501</v>
      </c>
      <c r="F5" s="195">
        <v>101.82283465056859</v>
      </c>
      <c r="G5" s="195">
        <v>333.23570206169893</v>
      </c>
    </row>
    <row r="6" spans="1:7" x14ac:dyDescent="0.55000000000000004">
      <c r="A6" s="284" t="s">
        <v>31</v>
      </c>
      <c r="B6" s="195">
        <v>82.760633197567884</v>
      </c>
      <c r="C6" s="195">
        <v>270.85081456734196</v>
      </c>
      <c r="E6" s="201" t="s">
        <v>502</v>
      </c>
      <c r="F6" s="195">
        <v>80.859641006091195</v>
      </c>
      <c r="G6" s="195">
        <v>185.81588612485336</v>
      </c>
    </row>
    <row r="7" spans="1:7" x14ac:dyDescent="0.55000000000000004">
      <c r="A7" s="284" t="s">
        <v>91</v>
      </c>
      <c r="B7" s="502">
        <v>109.63101736908523</v>
      </c>
      <c r="C7" s="502">
        <v>358.78955016424123</v>
      </c>
      <c r="E7" s="550" t="s">
        <v>498</v>
      </c>
      <c r="F7" s="550"/>
      <c r="G7" s="550"/>
    </row>
    <row r="8" spans="1:7" x14ac:dyDescent="0.55000000000000004">
      <c r="A8" s="343" t="s">
        <v>464</v>
      </c>
      <c r="B8" s="502"/>
      <c r="C8" s="502"/>
      <c r="E8" s="201" t="s">
        <v>494</v>
      </c>
      <c r="F8" s="347">
        <f>(B16-B7)/B7</f>
        <v>-0.12347286596935129</v>
      </c>
      <c r="G8" s="347">
        <f>(C16-C7)/C7</f>
        <v>-0.38452551240891408</v>
      </c>
    </row>
    <row r="9" spans="1:7" x14ac:dyDescent="0.55000000000000004">
      <c r="A9" s="284" t="s">
        <v>65</v>
      </c>
      <c r="B9" s="195">
        <v>0.68291668585196075</v>
      </c>
      <c r="C9" s="195">
        <v>1.5693461849709549</v>
      </c>
      <c r="E9" s="201" t="s">
        <v>495</v>
      </c>
      <c r="F9" s="347">
        <f>(B33-B24)/B24</f>
        <v>-0.20587910085609012</v>
      </c>
      <c r="G9" s="347">
        <f>(C33-C24)/C24</f>
        <v>-0.44238902081851555</v>
      </c>
    </row>
    <row r="10" spans="1:7" x14ac:dyDescent="0.55000000000000004">
      <c r="A10" s="284" t="s">
        <v>63</v>
      </c>
      <c r="B10" s="195">
        <v>1.8009749696735824</v>
      </c>
      <c r="C10" s="195">
        <v>4.1386500819780832</v>
      </c>
    </row>
    <row r="11" spans="1:7" x14ac:dyDescent="0.55000000000000004">
      <c r="A11" s="284" t="s">
        <v>64</v>
      </c>
      <c r="B11" s="195">
        <v>2.4107051693596553</v>
      </c>
      <c r="C11" s="195">
        <v>5.5398133315554174</v>
      </c>
    </row>
    <row r="12" spans="1:7" x14ac:dyDescent="0.55000000000000004">
      <c r="A12" s="284" t="s">
        <v>62</v>
      </c>
      <c r="B12" s="195">
        <v>4.5000220391822499</v>
      </c>
      <c r="C12" s="195">
        <v>10.341074637333969</v>
      </c>
    </row>
    <row r="13" spans="1:7" x14ac:dyDescent="0.55000000000000004">
      <c r="A13" s="284" t="s">
        <v>61</v>
      </c>
      <c r="B13" s="195">
        <v>9.5895795705264639</v>
      </c>
      <c r="C13" s="195">
        <v>22.036904978689368</v>
      </c>
    </row>
    <row r="14" spans="1:7" x14ac:dyDescent="0.55000000000000004">
      <c r="A14" s="284" t="s">
        <v>90</v>
      </c>
      <c r="B14" s="195">
        <v>17.554988751571024</v>
      </c>
      <c r="C14" s="195">
        <v>40.341457743292182</v>
      </c>
    </row>
    <row r="15" spans="1:7" x14ac:dyDescent="0.55000000000000004">
      <c r="A15" s="284" t="s">
        <v>31</v>
      </c>
      <c r="B15" s="195">
        <v>59.555374269223613</v>
      </c>
      <c r="C15" s="195">
        <v>136.85856758255267</v>
      </c>
    </row>
    <row r="16" spans="1:7" x14ac:dyDescent="0.55000000000000004">
      <c r="A16" s="284" t="s">
        <v>91</v>
      </c>
      <c r="B16" s="502">
        <v>96.094561455388543</v>
      </c>
      <c r="C16" s="502">
        <v>220.82581454037259</v>
      </c>
    </row>
    <row r="17" spans="1:3" ht="8.25" customHeight="1" x14ac:dyDescent="0.55000000000000004">
      <c r="A17" s="345"/>
      <c r="B17" s="346"/>
      <c r="C17" s="346"/>
    </row>
    <row r="18" spans="1:3" x14ac:dyDescent="0.55000000000000004">
      <c r="A18" s="273">
        <v>100</v>
      </c>
      <c r="B18" s="342"/>
      <c r="C18" s="342"/>
    </row>
    <row r="19" spans="1:3" x14ac:dyDescent="0.55000000000000004">
      <c r="A19" s="343" t="s">
        <v>43</v>
      </c>
      <c r="B19" s="201"/>
      <c r="C19" s="201"/>
    </row>
    <row r="20" spans="1:3" x14ac:dyDescent="0.55000000000000004">
      <c r="A20" s="284" t="s">
        <v>29</v>
      </c>
      <c r="B20" s="195">
        <v>2.0242134635379379</v>
      </c>
      <c r="C20" s="195">
        <v>6.6246456107774581</v>
      </c>
    </row>
    <row r="21" spans="1:3" x14ac:dyDescent="0.55000000000000004">
      <c r="A21" s="284" t="s">
        <v>30</v>
      </c>
      <c r="B21" s="195">
        <v>5.7773710897097761</v>
      </c>
      <c r="C21" s="195">
        <v>18.90760866908991</v>
      </c>
    </row>
    <row r="22" spans="1:3" x14ac:dyDescent="0.55000000000000004">
      <c r="A22" s="284" t="s">
        <v>28</v>
      </c>
      <c r="B22" s="195">
        <v>11.387457493852688</v>
      </c>
      <c r="C22" s="195">
        <v>37.267744565197731</v>
      </c>
    </row>
    <row r="23" spans="1:3" x14ac:dyDescent="0.55000000000000004">
      <c r="A23" s="284" t="s">
        <v>31</v>
      </c>
      <c r="B23" s="195">
        <v>82.633792603468166</v>
      </c>
      <c r="C23" s="195">
        <v>270.43570321663384</v>
      </c>
    </row>
    <row r="24" spans="1:3" x14ac:dyDescent="0.55000000000000004">
      <c r="A24" s="284" t="s">
        <v>91</v>
      </c>
      <c r="B24" s="502">
        <v>101.82283465056859</v>
      </c>
      <c r="C24" s="502">
        <v>333.23570206169893</v>
      </c>
    </row>
    <row r="25" spans="1:3" x14ac:dyDescent="0.55000000000000004">
      <c r="A25" s="343" t="s">
        <v>464</v>
      </c>
      <c r="B25" s="502"/>
      <c r="C25" s="502"/>
    </row>
    <row r="26" spans="1:3" ht="14.1" customHeight="1" x14ac:dyDescent="0.55000000000000004">
      <c r="A26" s="284" t="s">
        <v>90</v>
      </c>
      <c r="B26" s="195">
        <v>9.3333341532909166</v>
      </c>
      <c r="C26" s="195">
        <v>21.4</v>
      </c>
    </row>
    <row r="27" spans="1:3" x14ac:dyDescent="0.55000000000000004">
      <c r="A27" s="284" t="s">
        <v>65</v>
      </c>
      <c r="B27" s="195">
        <v>0.36156905744174728</v>
      </c>
      <c r="C27" s="195">
        <v>0.83088762166041763</v>
      </c>
    </row>
    <row r="28" spans="1:3" x14ac:dyDescent="0.55000000000000004">
      <c r="A28" s="284" t="s">
        <v>63</v>
      </c>
      <c r="B28" s="195">
        <v>0.65053398904573045</v>
      </c>
      <c r="C28" s="195">
        <v>1.4949305750660229</v>
      </c>
    </row>
    <row r="29" spans="1:3" x14ac:dyDescent="0.55000000000000004">
      <c r="A29" s="284" t="s">
        <v>64</v>
      </c>
      <c r="B29" s="195">
        <v>1.2321278380509162</v>
      </c>
      <c r="C29" s="195">
        <v>2.8314363407733163</v>
      </c>
    </row>
    <row r="30" spans="1:3" x14ac:dyDescent="0.55000000000000004">
      <c r="A30" s="284" t="s">
        <v>62</v>
      </c>
      <c r="B30" s="195">
        <v>2.2002193386911824</v>
      </c>
      <c r="C30" s="195">
        <v>5.0561157705009254</v>
      </c>
    </row>
    <row r="31" spans="1:3" x14ac:dyDescent="0.55000000000000004">
      <c r="A31" s="284" t="s">
        <v>61</v>
      </c>
      <c r="B31" s="195">
        <v>7.5985705556494763</v>
      </c>
      <c r="C31" s="195">
        <v>17.461555647691601</v>
      </c>
    </row>
    <row r="32" spans="1:3" x14ac:dyDescent="0.55000000000000004">
      <c r="A32" s="284" t="s">
        <v>31</v>
      </c>
      <c r="B32" s="195">
        <v>59.483286073921214</v>
      </c>
      <c r="C32" s="195">
        <v>136.69290852541874</v>
      </c>
    </row>
    <row r="33" spans="1:3" x14ac:dyDescent="0.55000000000000004">
      <c r="A33" s="284" t="s">
        <v>91</v>
      </c>
      <c r="B33" s="502">
        <v>80.859641006091195</v>
      </c>
      <c r="C33" s="502">
        <v>185.81588612485336</v>
      </c>
    </row>
  </sheetData>
  <mergeCells count="1">
    <mergeCell ref="E7:G7"/>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5D23F-0962-44DF-9388-6BE2A3531494}">
  <sheetPr>
    <tabColor rgb="FFFFFF00"/>
  </sheetPr>
  <dimension ref="A1:R64"/>
  <sheetViews>
    <sheetView topLeftCell="A30" workbookViewId="0">
      <selection activeCell="N51" sqref="N51"/>
    </sheetView>
  </sheetViews>
  <sheetFormatPr defaultColWidth="8.83984375" defaultRowHeight="14.4" x14ac:dyDescent="0.55000000000000004"/>
  <cols>
    <col min="1" max="1" width="71.41796875" bestFit="1" customWidth="1"/>
    <col min="2" max="2" width="12.41796875" bestFit="1" customWidth="1"/>
    <col min="4" max="4" width="17.15625" customWidth="1"/>
    <col min="8" max="8" width="14.83984375" customWidth="1"/>
    <col min="11" max="11" width="12.26171875" bestFit="1" customWidth="1"/>
  </cols>
  <sheetData>
    <row r="1" spans="1:18" s="45" customFormat="1" ht="14.1" x14ac:dyDescent="0.5">
      <c r="A1" s="46" t="s">
        <v>166</v>
      </c>
      <c r="B1" s="67"/>
      <c r="C1" s="67"/>
      <c r="D1" s="67"/>
      <c r="E1" s="67"/>
      <c r="F1" s="67"/>
    </row>
    <row r="2" spans="1:18" s="45" customFormat="1" ht="12.3" x14ac:dyDescent="0.4">
      <c r="A2" s="45" t="s">
        <v>167</v>
      </c>
      <c r="B2" s="67"/>
      <c r="C2" s="67"/>
      <c r="D2" s="67"/>
      <c r="E2" s="67"/>
      <c r="F2" s="67"/>
    </row>
    <row r="3" spans="1:18" s="45" customFormat="1" x14ac:dyDescent="0.55000000000000004">
      <c r="A3" s="68" t="s">
        <v>168</v>
      </c>
      <c r="B3" s="69" t="s">
        <v>169</v>
      </c>
      <c r="C3" s="70" t="s">
        <v>169</v>
      </c>
      <c r="D3" s="277" t="s">
        <v>169</v>
      </c>
      <c r="E3" s="70" t="s">
        <v>170</v>
      </c>
      <c r="F3" s="70" t="s">
        <v>170</v>
      </c>
      <c r="G3" s="71" t="s">
        <v>171</v>
      </c>
      <c r="H3" s="71" t="s">
        <v>171</v>
      </c>
      <c r="I3" s="71" t="s">
        <v>172</v>
      </c>
      <c r="J3" s="71" t="s">
        <v>172</v>
      </c>
      <c r="K3" s="70" t="s">
        <v>173</v>
      </c>
      <c r="L3" s="70" t="s">
        <v>173</v>
      </c>
      <c r="M3" s="70" t="s">
        <v>174</v>
      </c>
      <c r="N3" s="70" t="s">
        <v>174</v>
      </c>
      <c r="O3" s="70" t="s">
        <v>175</v>
      </c>
      <c r="P3" s="70" t="s">
        <v>175</v>
      </c>
      <c r="Q3" s="70" t="s">
        <v>176</v>
      </c>
      <c r="R3" s="72" t="s">
        <v>176</v>
      </c>
    </row>
    <row r="4" spans="1:18" s="45" customFormat="1" ht="12.3" x14ac:dyDescent="0.4">
      <c r="A4" s="73" t="s">
        <v>177</v>
      </c>
      <c r="B4" s="74">
        <v>100</v>
      </c>
      <c r="C4" s="75">
        <v>100</v>
      </c>
      <c r="D4" s="278">
        <v>20</v>
      </c>
      <c r="E4" s="75">
        <v>100</v>
      </c>
      <c r="F4" s="75">
        <v>50</v>
      </c>
      <c r="G4" s="76">
        <v>100</v>
      </c>
      <c r="H4" s="76">
        <v>20</v>
      </c>
      <c r="I4" s="76">
        <v>100</v>
      </c>
      <c r="J4" s="76">
        <v>20</v>
      </c>
      <c r="K4" s="76">
        <v>100</v>
      </c>
      <c r="L4" s="76">
        <v>20</v>
      </c>
      <c r="M4" s="76">
        <v>100</v>
      </c>
      <c r="N4" s="76">
        <v>20</v>
      </c>
      <c r="O4" s="76">
        <v>100</v>
      </c>
      <c r="P4" s="76">
        <v>20</v>
      </c>
      <c r="Q4" s="76">
        <v>100</v>
      </c>
      <c r="R4" s="77">
        <v>20</v>
      </c>
    </row>
    <row r="5" spans="1:18" s="45" customFormat="1" ht="12.3" x14ac:dyDescent="0.4">
      <c r="A5" s="78" t="s">
        <v>178</v>
      </c>
      <c r="B5" s="279">
        <f t="array" ref="B5">INDEX($C$5:$R$7,ROW($A5)-ROW($A$5)+1,MATCH($B$3&amp;$B$4,$C$3:$R$3&amp;$C$4:$R$4,0))</f>
        <v>1</v>
      </c>
      <c r="C5" s="45">
        <v>1</v>
      </c>
      <c r="D5" s="282">
        <v>1</v>
      </c>
      <c r="E5" s="45">
        <v>1</v>
      </c>
      <c r="F5" s="45">
        <v>1</v>
      </c>
      <c r="G5" s="45">
        <v>1</v>
      </c>
      <c r="H5" s="45">
        <v>1</v>
      </c>
      <c r="I5" s="45">
        <v>1</v>
      </c>
      <c r="J5" s="45">
        <v>1</v>
      </c>
      <c r="K5" s="45">
        <v>1</v>
      </c>
      <c r="L5" s="45">
        <v>1</v>
      </c>
      <c r="M5" s="45">
        <v>1</v>
      </c>
      <c r="N5" s="45">
        <v>1</v>
      </c>
      <c r="O5" s="45">
        <v>1</v>
      </c>
      <c r="P5" s="45">
        <v>1</v>
      </c>
      <c r="Q5" s="45">
        <v>1</v>
      </c>
      <c r="R5" s="80">
        <v>1</v>
      </c>
    </row>
    <row r="6" spans="1:18" s="45" customFormat="1" ht="12.3" x14ac:dyDescent="0.4">
      <c r="A6" s="78" t="s">
        <v>179</v>
      </c>
      <c r="B6" s="280">
        <f t="array" ref="B6">INDEX($C$5:$R$7,ROW($A6)-ROW($A$5)+1,MATCH($B$3&amp;$B$4,$C$3:$R$3&amp;$C$4:$R$4,0))</f>
        <v>29.8</v>
      </c>
      <c r="C6" s="45">
        <v>29.8</v>
      </c>
      <c r="D6" s="282">
        <v>82.5</v>
      </c>
      <c r="E6" s="45">
        <v>7.5</v>
      </c>
      <c r="F6" s="45">
        <v>13.2</v>
      </c>
      <c r="G6" s="45">
        <v>30</v>
      </c>
      <c r="H6" s="45">
        <v>85</v>
      </c>
      <c r="I6" s="45">
        <v>6</v>
      </c>
      <c r="J6" s="45">
        <v>68</v>
      </c>
      <c r="K6" s="45">
        <v>25</v>
      </c>
      <c r="L6" s="45">
        <v>72</v>
      </c>
      <c r="M6" s="45">
        <v>23</v>
      </c>
      <c r="N6" s="45">
        <v>62</v>
      </c>
      <c r="O6" s="45">
        <v>21</v>
      </c>
      <c r="P6" s="45">
        <v>56</v>
      </c>
      <c r="Q6" s="45">
        <v>21</v>
      </c>
      <c r="R6" s="80">
        <v>63</v>
      </c>
    </row>
    <row r="7" spans="1:18" s="45" customFormat="1" ht="12.3" x14ac:dyDescent="0.4">
      <c r="A7" s="73" t="s">
        <v>180</v>
      </c>
      <c r="B7" s="281">
        <f t="array" ref="B7">INDEX($C$5:$R$7,ROW($A7)-ROW($A$5)+1,MATCH($B$3&amp;$B$4,$C$3:$R$3&amp;$C$4:$R$4,0))</f>
        <v>273</v>
      </c>
      <c r="C7" s="82">
        <v>273</v>
      </c>
      <c r="D7" s="283">
        <v>273</v>
      </c>
      <c r="E7" s="82">
        <v>233</v>
      </c>
      <c r="F7" s="82">
        <v>290</v>
      </c>
      <c r="G7" s="82">
        <v>265</v>
      </c>
      <c r="H7" s="82">
        <v>264</v>
      </c>
      <c r="I7" s="82">
        <v>234</v>
      </c>
      <c r="J7" s="82">
        <v>277</v>
      </c>
      <c r="K7" s="82">
        <v>298</v>
      </c>
      <c r="L7" s="82">
        <v>289</v>
      </c>
      <c r="M7" s="82">
        <v>296</v>
      </c>
      <c r="N7" s="82">
        <v>275</v>
      </c>
      <c r="O7" s="82">
        <v>310</v>
      </c>
      <c r="P7" s="82">
        <v>280</v>
      </c>
      <c r="Q7" s="82">
        <v>290</v>
      </c>
      <c r="R7" s="83">
        <v>270</v>
      </c>
    </row>
    <row r="8" spans="1:18" s="45" customFormat="1" ht="12.3" x14ac:dyDescent="0.4">
      <c r="A8" s="84"/>
      <c r="B8" s="54"/>
    </row>
    <row r="9" spans="1:18" s="45" customFormat="1" ht="12.3" x14ac:dyDescent="0.4">
      <c r="A9" s="85" t="s">
        <v>181</v>
      </c>
      <c r="B9" s="54"/>
    </row>
    <row r="10" spans="1:18" s="45" customFormat="1" ht="12.3" x14ac:dyDescent="0.4">
      <c r="A10" s="86" t="s">
        <v>182</v>
      </c>
      <c r="B10" s="87" t="s">
        <v>183</v>
      </c>
      <c r="C10" s="88" t="s">
        <v>183</v>
      </c>
      <c r="D10" s="88" t="s">
        <v>40</v>
      </c>
      <c r="E10" s="88" t="s">
        <v>40</v>
      </c>
      <c r="F10" s="88" t="s">
        <v>184</v>
      </c>
      <c r="G10" s="89" t="s">
        <v>184</v>
      </c>
    </row>
    <row r="11" spans="1:18" s="45" customFormat="1" ht="12.3" x14ac:dyDescent="0.4">
      <c r="A11" s="73" t="s">
        <v>177</v>
      </c>
      <c r="B11" s="74">
        <v>100</v>
      </c>
      <c r="C11" s="90"/>
      <c r="D11" s="90">
        <v>100</v>
      </c>
      <c r="E11" s="90">
        <v>20</v>
      </c>
      <c r="F11" s="90">
        <v>100</v>
      </c>
      <c r="G11" s="91">
        <v>20</v>
      </c>
    </row>
    <row r="12" spans="1:18" s="45" customFormat="1" ht="12.3" x14ac:dyDescent="0.4">
      <c r="A12" s="78" t="s">
        <v>185</v>
      </c>
      <c r="B12" s="79">
        <f t="array" ref="B12">INDEX($C$12:$G$16,ROW($A12)-ROW($A$12)+1,IF($B$10=$C$10,1,MATCH($B$10&amp;$B$11,$D$10:$G$10&amp;$D$11:$G$11,0)+1))</f>
        <v>0</v>
      </c>
      <c r="C12" s="45">
        <v>0</v>
      </c>
      <c r="D12" s="45">
        <v>4.5</v>
      </c>
      <c r="E12" s="54">
        <v>14</v>
      </c>
      <c r="F12" s="45">
        <v>0.66</v>
      </c>
      <c r="G12" s="80">
        <v>7.5</v>
      </c>
    </row>
    <row r="13" spans="1:18" s="45" customFormat="1" ht="12.3" x14ac:dyDescent="0.4">
      <c r="A13" s="78" t="s">
        <v>186</v>
      </c>
      <c r="B13" s="79">
        <f t="array" ref="B13">INDEX($C$12:$G$16,ROW($A13)-ROW($A$12)+1,IF($B$10=$C$10,1,MATCH($B$10&amp;$B$11,$D$10:$G$10&amp;$D$11:$G$11,0)+1))</f>
        <v>0</v>
      </c>
      <c r="C13" s="45">
        <v>0</v>
      </c>
      <c r="D13" s="45">
        <v>2.65</v>
      </c>
      <c r="E13" s="45">
        <v>7.65</v>
      </c>
      <c r="F13" s="45">
        <v>0.42</v>
      </c>
      <c r="G13" s="80">
        <v>4.9000000000000004</v>
      </c>
    </row>
    <row r="14" spans="1:18" s="45" customFormat="1" ht="12.3" x14ac:dyDescent="0.4">
      <c r="A14" s="78" t="s">
        <v>187</v>
      </c>
      <c r="B14" s="79">
        <f t="array" ref="B14">INDEX($C$12:$G$16,ROW($A14)-ROW($A$12)+1,IF($B$10=$C$10,1,MATCH($B$10&amp;$B$11,$D$10:$G$10&amp;$D$11:$G$11,0)+1))</f>
        <v>0</v>
      </c>
      <c r="C14" s="45">
        <v>0</v>
      </c>
      <c r="D14" s="45">
        <v>-11</v>
      </c>
      <c r="E14" s="45">
        <v>19</v>
      </c>
      <c r="F14" s="45">
        <v>-2.9</v>
      </c>
      <c r="G14" s="80">
        <v>-87</v>
      </c>
    </row>
    <row r="15" spans="1:18" s="45" customFormat="1" ht="12.3" x14ac:dyDescent="0.4">
      <c r="A15" s="78" t="s">
        <v>188</v>
      </c>
      <c r="B15" s="79">
        <f t="array" ref="B15">INDEX($C$12:$G$16,ROW($A15)-ROW($A$12)+1,IF($B$10=$C$10,1,MATCH($B$10&amp;$B$11,$D$10:$G$10&amp;$D$11:$G$11,0)+1))</f>
        <v>0</v>
      </c>
      <c r="C15" s="45">
        <v>0</v>
      </c>
      <c r="D15" s="92">
        <v>900</v>
      </c>
      <c r="E15" s="92">
        <v>3200</v>
      </c>
      <c r="F15" s="92">
        <v>130</v>
      </c>
      <c r="G15" s="93">
        <v>920</v>
      </c>
    </row>
    <row r="16" spans="1:18" s="45" customFormat="1" ht="12.3" x14ac:dyDescent="0.4">
      <c r="A16" s="73" t="s">
        <v>189</v>
      </c>
      <c r="B16" s="81">
        <f t="array" ref="B16">INDEX($C$12:$G$16,ROW($A16)-ROW($A$12)+1,IF($B$10=$C$10,1,MATCH($B$10&amp;$B$11,$D$10:$G$10&amp;$D$11:$G$11,0)+1))</f>
        <v>0</v>
      </c>
      <c r="C16" s="82">
        <v>0</v>
      </c>
      <c r="D16" s="82">
        <v>-69</v>
      </c>
      <c r="E16" s="82">
        <v>-240</v>
      </c>
      <c r="F16" s="82">
        <v>-10</v>
      </c>
      <c r="G16" s="83">
        <v>-71</v>
      </c>
    </row>
    <row r="18" spans="1:11" s="45" customFormat="1" ht="14.1" x14ac:dyDescent="0.5">
      <c r="A18" s="46" t="s">
        <v>190</v>
      </c>
    </row>
    <row r="19" spans="1:11" s="45" customFormat="1" ht="12.3" x14ac:dyDescent="0.4">
      <c r="A19" s="68" t="s">
        <v>191</v>
      </c>
      <c r="B19" s="94">
        <v>0.85</v>
      </c>
    </row>
    <row r="20" spans="1:11" s="45" customFormat="1" ht="12.3" x14ac:dyDescent="0.4">
      <c r="A20" s="78" t="s">
        <v>192</v>
      </c>
      <c r="B20" s="95">
        <f>12/28</f>
        <v>0.42857142857142855</v>
      </c>
    </row>
    <row r="21" spans="1:11" s="45" customFormat="1" ht="12.3" x14ac:dyDescent="0.4">
      <c r="A21" s="78" t="s">
        <v>193</v>
      </c>
      <c r="B21" s="95">
        <f>12/16</f>
        <v>0.75</v>
      </c>
    </row>
    <row r="22" spans="1:11" s="45" customFormat="1" ht="12.3" x14ac:dyDescent="0.4">
      <c r="A22" s="78" t="s">
        <v>194</v>
      </c>
      <c r="B22" s="95">
        <f>12/44</f>
        <v>0.27272727272727271</v>
      </c>
      <c r="K22" s="45">
        <f>9544*1937839/1000000*0</f>
        <v>0</v>
      </c>
    </row>
    <row r="23" spans="1:11" s="45" customFormat="1" ht="12.3" x14ac:dyDescent="0.4">
      <c r="A23" s="73" t="s">
        <v>195</v>
      </c>
      <c r="B23" s="96">
        <f>32/64</f>
        <v>0.5</v>
      </c>
    </row>
    <row r="24" spans="1:11" s="45" customFormat="1" ht="12.3" x14ac:dyDescent="0.4"/>
    <row r="25" spans="1:11" s="45" customFormat="1" ht="12.3" x14ac:dyDescent="0.4"/>
    <row r="26" spans="1:11" s="45" customFormat="1" ht="14.1" x14ac:dyDescent="0.5">
      <c r="A26" s="46" t="s">
        <v>196</v>
      </c>
    </row>
    <row r="27" spans="1:11" s="45" customFormat="1" ht="12.3" x14ac:dyDescent="0.4">
      <c r="A27" s="100" t="s">
        <v>197</v>
      </c>
      <c r="B27" s="101" t="s">
        <v>198</v>
      </c>
      <c r="C27" s="101" t="s">
        <v>199</v>
      </c>
      <c r="D27" s="101" t="s">
        <v>200</v>
      </c>
      <c r="E27" s="101" t="s">
        <v>201</v>
      </c>
      <c r="F27" s="102" t="s">
        <v>202</v>
      </c>
    </row>
    <row r="28" spans="1:11" s="45" customFormat="1" ht="12.3" x14ac:dyDescent="0.4">
      <c r="A28" s="103" t="s">
        <v>203</v>
      </c>
      <c r="B28" s="104">
        <v>1</v>
      </c>
      <c r="C28" s="104">
        <v>1000</v>
      </c>
      <c r="D28" s="104">
        <v>1000000</v>
      </c>
      <c r="E28" s="105">
        <v>453.59237000000002</v>
      </c>
      <c r="F28" s="106">
        <f>E28*2000</f>
        <v>907184.74</v>
      </c>
    </row>
    <row r="29" spans="1:11" s="45" customFormat="1" ht="12.3" x14ac:dyDescent="0.4">
      <c r="A29" s="103" t="s">
        <v>58</v>
      </c>
      <c r="B29" s="107">
        <f>B28/C28</f>
        <v>1E-3</v>
      </c>
      <c r="C29" s="104">
        <v>1</v>
      </c>
      <c r="D29" s="104">
        <f>D28/C28</f>
        <v>1000</v>
      </c>
      <c r="E29" s="105">
        <f>E28/C28</f>
        <v>0.45359237000000002</v>
      </c>
      <c r="F29" s="108">
        <f>F28/C28</f>
        <v>907.18474000000003</v>
      </c>
    </row>
    <row r="30" spans="1:11" s="45" customFormat="1" ht="12.3" x14ac:dyDescent="0.4">
      <c r="A30" s="103" t="s">
        <v>204</v>
      </c>
      <c r="B30" s="107">
        <f>B28/D28</f>
        <v>9.9999999999999995E-7</v>
      </c>
      <c r="C30" s="107">
        <f>C28/D28</f>
        <v>1E-3</v>
      </c>
      <c r="D30" s="104">
        <v>1</v>
      </c>
      <c r="E30" s="107">
        <f>E28/D28</f>
        <v>4.5359237000000004E-4</v>
      </c>
      <c r="F30" s="108">
        <f>F28/D28</f>
        <v>0.90718474000000004</v>
      </c>
    </row>
    <row r="31" spans="1:11" s="45" customFormat="1" ht="12.3" x14ac:dyDescent="0.4">
      <c r="A31" s="103" t="s">
        <v>205</v>
      </c>
      <c r="B31" s="107">
        <f>B28/E28</f>
        <v>2.2046226218487759E-3</v>
      </c>
      <c r="C31" s="105">
        <f>C28/E28</f>
        <v>2.2046226218487757</v>
      </c>
      <c r="D31" s="104">
        <f>D28/E28</f>
        <v>2204.6226218487759</v>
      </c>
      <c r="E31" s="104">
        <v>1</v>
      </c>
      <c r="F31" s="106">
        <f>F28/E28</f>
        <v>2000</v>
      </c>
    </row>
    <row r="32" spans="1:11" s="45" customFormat="1" ht="12.3" x14ac:dyDescent="0.4">
      <c r="A32" s="109" t="s">
        <v>206</v>
      </c>
      <c r="B32" s="110">
        <f>B28/F28</f>
        <v>1.102311310924388E-6</v>
      </c>
      <c r="C32" s="110">
        <f>C28/F28</f>
        <v>1.1023113109243879E-3</v>
      </c>
      <c r="D32" s="111">
        <f>D28/F28</f>
        <v>1.1023113109243878</v>
      </c>
      <c r="E32" s="110">
        <f>E28/F28</f>
        <v>5.0000000000000001E-4</v>
      </c>
      <c r="F32" s="112">
        <v>1</v>
      </c>
    </row>
    <row r="34" spans="1:9" s="45" customFormat="1" ht="12.3" x14ac:dyDescent="0.4">
      <c r="A34" s="100" t="s">
        <v>207</v>
      </c>
      <c r="B34" s="101" t="s">
        <v>208</v>
      </c>
      <c r="C34" s="101" t="s">
        <v>209</v>
      </c>
      <c r="D34" s="101" t="s">
        <v>210</v>
      </c>
      <c r="E34" s="101" t="s">
        <v>211</v>
      </c>
      <c r="F34" s="102" t="s">
        <v>212</v>
      </c>
    </row>
    <row r="35" spans="1:9" s="45" customFormat="1" ht="12.3" x14ac:dyDescent="0.4">
      <c r="A35" s="103" t="s">
        <v>213</v>
      </c>
      <c r="B35" s="97">
        <v>1</v>
      </c>
      <c r="C35" s="113">
        <v>9.9999999999999995E-7</v>
      </c>
      <c r="D35" s="114">
        <v>1E-3</v>
      </c>
      <c r="E35" s="115">
        <v>3.7854109999999998E-3</v>
      </c>
      <c r="F35" s="116">
        <v>2.8316846999999999E-2</v>
      </c>
    </row>
    <row r="36" spans="1:9" s="45" customFormat="1" ht="12.3" x14ac:dyDescent="0.4">
      <c r="A36" s="103" t="s">
        <v>214</v>
      </c>
      <c r="B36" s="104">
        <f>B35/C35</f>
        <v>1000000</v>
      </c>
      <c r="C36" s="104">
        <v>1</v>
      </c>
      <c r="D36" s="104">
        <f>D35/C35</f>
        <v>1000.0000000000001</v>
      </c>
      <c r="E36" s="104">
        <f>E35/C35</f>
        <v>3785.4110000000001</v>
      </c>
      <c r="F36" s="106">
        <f>F35/C35</f>
        <v>28316.847000000002</v>
      </c>
    </row>
    <row r="37" spans="1:9" s="45" customFormat="1" ht="12.3" x14ac:dyDescent="0.4">
      <c r="A37" s="103" t="s">
        <v>215</v>
      </c>
      <c r="B37" s="104">
        <f>B35/D35</f>
        <v>1000</v>
      </c>
      <c r="C37" s="105">
        <f>C35/D35</f>
        <v>1E-3</v>
      </c>
      <c r="D37" s="104">
        <v>1</v>
      </c>
      <c r="E37" s="105">
        <f>E35/D35</f>
        <v>3.7854109999999999</v>
      </c>
      <c r="F37" s="108">
        <f>F35/D35</f>
        <v>28.316846999999999</v>
      </c>
    </row>
    <row r="38" spans="1:9" s="45" customFormat="1" ht="12.3" x14ac:dyDescent="0.4">
      <c r="A38" s="103" t="s">
        <v>216</v>
      </c>
      <c r="B38" s="98">
        <f>B35/E35</f>
        <v>264.17210707106841</v>
      </c>
      <c r="C38" s="107">
        <f>C35/E35</f>
        <v>2.6417210707106839E-4</v>
      </c>
      <c r="D38" s="105">
        <f>D35/E35</f>
        <v>0.26417210707106842</v>
      </c>
      <c r="E38" s="104">
        <v>1</v>
      </c>
      <c r="F38" s="108">
        <f>F35/E35</f>
        <v>7.4805211375990615</v>
      </c>
    </row>
    <row r="39" spans="1:9" s="45" customFormat="1" ht="12.3" x14ac:dyDescent="0.4">
      <c r="A39" s="109" t="s">
        <v>217</v>
      </c>
      <c r="B39" s="99">
        <f>B35/F35</f>
        <v>35.314666212661322</v>
      </c>
      <c r="C39" s="110">
        <f>C35/F35</f>
        <v>3.5314666212661319E-5</v>
      </c>
      <c r="D39" s="111">
        <f>D35/F35</f>
        <v>3.5314666212661321E-2</v>
      </c>
      <c r="E39" s="111">
        <f>E35/F35</f>
        <v>0.13368052594273649</v>
      </c>
      <c r="F39" s="112">
        <v>1</v>
      </c>
    </row>
    <row r="40" spans="1:9" s="45" customFormat="1" ht="12.3" x14ac:dyDescent="0.4"/>
    <row r="41" spans="1:9" s="45" customFormat="1" ht="12.3" x14ac:dyDescent="0.4">
      <c r="A41" s="100" t="s">
        <v>218</v>
      </c>
      <c r="B41" s="101" t="s">
        <v>219</v>
      </c>
      <c r="C41" s="101" t="s">
        <v>220</v>
      </c>
      <c r="D41" s="101" t="s">
        <v>221</v>
      </c>
      <c r="E41" s="101" t="s">
        <v>222</v>
      </c>
      <c r="F41" s="101" t="s">
        <v>223</v>
      </c>
      <c r="G41" s="101" t="s">
        <v>224</v>
      </c>
      <c r="H41" s="101" t="s">
        <v>225</v>
      </c>
      <c r="I41" s="102" t="s">
        <v>226</v>
      </c>
    </row>
    <row r="42" spans="1:9" s="45" customFormat="1" ht="12.3" x14ac:dyDescent="0.4">
      <c r="A42" s="103" t="s">
        <v>227</v>
      </c>
      <c r="B42" s="104">
        <v>1</v>
      </c>
      <c r="C42" s="104">
        <v>1000</v>
      </c>
      <c r="D42" s="104">
        <v>1000000</v>
      </c>
      <c r="E42" s="104">
        <v>3600</v>
      </c>
      <c r="F42" s="104">
        <v>3600000</v>
      </c>
      <c r="G42" s="104">
        <v>1055.05585</v>
      </c>
      <c r="H42" s="104">
        <f>G42*1000000</f>
        <v>1055055850</v>
      </c>
      <c r="I42" s="80">
        <f>1/B49</f>
        <v>2684519.5376862194</v>
      </c>
    </row>
    <row r="43" spans="1:9" s="45" customFormat="1" ht="12.3" x14ac:dyDescent="0.4">
      <c r="A43" s="103" t="s">
        <v>228</v>
      </c>
      <c r="B43" s="105">
        <f>J2J/C42</f>
        <v>1E-3</v>
      </c>
      <c r="C43" s="104">
        <v>1</v>
      </c>
      <c r="D43" s="104">
        <f>D42/C42</f>
        <v>1000</v>
      </c>
      <c r="E43" s="98">
        <f>E42/C42</f>
        <v>3.6</v>
      </c>
      <c r="F43" s="104">
        <f>F42/C42</f>
        <v>3600</v>
      </c>
      <c r="G43" s="105">
        <f>G42/C42</f>
        <v>1.05505585</v>
      </c>
      <c r="H43" s="104">
        <f>H42/C42</f>
        <v>1055055.8500000001</v>
      </c>
      <c r="I43" s="80">
        <f>1/C49</f>
        <v>2684.5195376862198</v>
      </c>
    </row>
    <row r="44" spans="1:9" s="45" customFormat="1" ht="12.3" x14ac:dyDescent="0.4">
      <c r="A44" s="103" t="s">
        <v>229</v>
      </c>
      <c r="B44" s="107">
        <f>B42/D42</f>
        <v>9.9999999999999995E-7</v>
      </c>
      <c r="C44" s="105">
        <f>C42/D42</f>
        <v>1E-3</v>
      </c>
      <c r="D44" s="104">
        <v>1</v>
      </c>
      <c r="E44" s="117">
        <f>E42/D42</f>
        <v>3.5999999999999999E-3</v>
      </c>
      <c r="F44" s="98">
        <f>F42/D42</f>
        <v>3.6</v>
      </c>
      <c r="G44" s="107">
        <f>G42/D42</f>
        <v>1.0550558499999999E-3</v>
      </c>
      <c r="H44" s="104">
        <f>H42/D42</f>
        <v>1055.05585</v>
      </c>
      <c r="I44" s="80">
        <f>1/D49</f>
        <v>2.6845195376862194</v>
      </c>
    </row>
    <row r="45" spans="1:9" s="45" customFormat="1" ht="12.3" x14ac:dyDescent="0.4">
      <c r="A45" s="103" t="s">
        <v>230</v>
      </c>
      <c r="B45" s="107">
        <f>B42/E42</f>
        <v>2.7777777777777778E-4</v>
      </c>
      <c r="C45" s="105">
        <f>C42/E42</f>
        <v>0.27777777777777779</v>
      </c>
      <c r="D45" s="104">
        <f>D42/E42</f>
        <v>277.77777777777777</v>
      </c>
      <c r="E45" s="104">
        <v>1</v>
      </c>
      <c r="F45" s="104">
        <f>F42/E42</f>
        <v>1000</v>
      </c>
      <c r="G45" s="105">
        <f>G42/E42</f>
        <v>0.29307106944444444</v>
      </c>
      <c r="H45" s="104">
        <f>H42/E42</f>
        <v>293071.06944444444</v>
      </c>
      <c r="I45" s="80">
        <f>1/E49</f>
        <v>745.69987157950538</v>
      </c>
    </row>
    <row r="46" spans="1:9" s="45" customFormat="1" ht="12.3" x14ac:dyDescent="0.4">
      <c r="A46" s="103" t="s">
        <v>231</v>
      </c>
      <c r="B46" s="118">
        <f>B42/F42</f>
        <v>2.7777777777777776E-7</v>
      </c>
      <c r="C46" s="107">
        <f>C42/F42</f>
        <v>2.7777777777777778E-4</v>
      </c>
      <c r="D46" s="105">
        <f>D42/F42</f>
        <v>0.27777777777777779</v>
      </c>
      <c r="E46" s="105">
        <f>E42/F42</f>
        <v>1E-3</v>
      </c>
      <c r="F46" s="104">
        <v>1</v>
      </c>
      <c r="G46" s="107">
        <f>G42/F42</f>
        <v>2.9307106944444444E-4</v>
      </c>
      <c r="H46" s="104">
        <f>H42/F42</f>
        <v>293.07106944444445</v>
      </c>
      <c r="I46" s="80">
        <f>1/F49</f>
        <v>0.74569987157950535</v>
      </c>
    </row>
    <row r="47" spans="1:9" s="45" customFormat="1" ht="12.3" x14ac:dyDescent="0.4">
      <c r="A47" s="103" t="s">
        <v>232</v>
      </c>
      <c r="B47" s="107">
        <f>B42/G42</f>
        <v>9.4781712266701337E-4</v>
      </c>
      <c r="C47" s="105">
        <f>C42/G42</f>
        <v>0.94781712266701335</v>
      </c>
      <c r="D47" s="104">
        <f>D42/G42</f>
        <v>947.81712266701334</v>
      </c>
      <c r="E47" s="105">
        <f>E42/G42</f>
        <v>3.4121416416012482</v>
      </c>
      <c r="F47" s="104">
        <f>F42/G42</f>
        <v>3412.141641601248</v>
      </c>
      <c r="G47" s="104">
        <v>1</v>
      </c>
      <c r="H47" s="104">
        <f>H42/G42</f>
        <v>1000000</v>
      </c>
      <c r="I47" s="80">
        <f>1/G49</f>
        <v>2544.4335839531336</v>
      </c>
    </row>
    <row r="48" spans="1:9" s="45" customFormat="1" ht="12.3" x14ac:dyDescent="0.4">
      <c r="A48" s="103" t="s">
        <v>233</v>
      </c>
      <c r="B48" s="119">
        <f>B42/H42</f>
        <v>9.4781712266701324E-10</v>
      </c>
      <c r="C48" s="107">
        <f>C42/H42</f>
        <v>9.4781712266701337E-7</v>
      </c>
      <c r="D48" s="107">
        <f>D42/H42</f>
        <v>9.4781712266701326E-4</v>
      </c>
      <c r="E48" s="120">
        <f>E42/H42</f>
        <v>3.4121416416012478E-6</v>
      </c>
      <c r="F48" s="107">
        <f>F42/H42</f>
        <v>3.4121416416012479E-3</v>
      </c>
      <c r="G48" s="107">
        <f>G42/H42</f>
        <v>9.9999999999999995E-7</v>
      </c>
      <c r="H48" s="104">
        <v>1</v>
      </c>
      <c r="I48" s="80">
        <f>1/H49</f>
        <v>2.5444335839531337E-3</v>
      </c>
    </row>
    <row r="49" spans="1:9" s="45" customFormat="1" ht="12.3" x14ac:dyDescent="0.4">
      <c r="A49" s="109" t="s">
        <v>234</v>
      </c>
      <c r="B49" s="82">
        <f>C49/1000</f>
        <v>3.72506136E-7</v>
      </c>
      <c r="C49" s="82">
        <f>D49/1000</f>
        <v>3.7250613599999999E-4</v>
      </c>
      <c r="D49" s="82">
        <f>F49/3.6</f>
        <v>0.37250613599999999</v>
      </c>
      <c r="E49" s="82">
        <f>F49/1000</f>
        <v>1.3410220896E-3</v>
      </c>
      <c r="F49" s="82">
        <v>1.3410220896</v>
      </c>
      <c r="G49" s="82">
        <f>F49/kWh2BTU</f>
        <v>3.9301477794769559E-4</v>
      </c>
      <c r="H49" s="82">
        <f>G49*1000000</f>
        <v>393.01477794769556</v>
      </c>
      <c r="I49" s="83">
        <v>1</v>
      </c>
    </row>
    <row r="50" spans="1:9" s="45" customFormat="1" ht="12.3" x14ac:dyDescent="0.4"/>
    <row r="51" spans="1:9" s="45" customFormat="1" ht="12.3" x14ac:dyDescent="0.4">
      <c r="A51" s="100" t="s">
        <v>235</v>
      </c>
      <c r="B51" s="66" t="s">
        <v>236</v>
      </c>
      <c r="C51" s="66" t="s">
        <v>237</v>
      </c>
      <c r="D51" s="66" t="s">
        <v>238</v>
      </c>
      <c r="E51" s="66" t="s">
        <v>239</v>
      </c>
      <c r="F51" s="121" t="s">
        <v>240</v>
      </c>
    </row>
    <row r="52" spans="1:9" s="45" customFormat="1" ht="12.3" x14ac:dyDescent="0.4">
      <c r="A52" s="103" t="s">
        <v>236</v>
      </c>
      <c r="B52" s="64">
        <v>1</v>
      </c>
      <c r="C52" s="65">
        <v>1000</v>
      </c>
      <c r="D52" s="65">
        <v>1000000</v>
      </c>
      <c r="E52" s="65">
        <v>304.8</v>
      </c>
      <c r="F52" s="122">
        <v>1609340</v>
      </c>
    </row>
    <row r="53" spans="1:9" s="45" customFormat="1" ht="12.3" x14ac:dyDescent="0.4">
      <c r="A53" s="103" t="s">
        <v>237</v>
      </c>
      <c r="B53" s="47">
        <v>1E-3</v>
      </c>
      <c r="C53" s="45">
        <v>1</v>
      </c>
      <c r="D53" s="45">
        <v>1000</v>
      </c>
      <c r="E53" s="45">
        <v>0.30480000000000002</v>
      </c>
      <c r="F53" s="80">
        <v>1609.34</v>
      </c>
    </row>
    <row r="54" spans="1:9" s="45" customFormat="1" ht="12.3" x14ac:dyDescent="0.4">
      <c r="A54" s="103" t="s">
        <v>238</v>
      </c>
      <c r="B54" s="47">
        <v>9.9999999999999995E-7</v>
      </c>
      <c r="C54" s="45">
        <v>1E-3</v>
      </c>
      <c r="D54" s="45">
        <v>1</v>
      </c>
      <c r="E54" s="45">
        <v>3.0480000000000004E-4</v>
      </c>
      <c r="F54" s="80">
        <v>1.60934</v>
      </c>
    </row>
    <row r="55" spans="1:9" s="45" customFormat="1" ht="12.3" x14ac:dyDescent="0.4">
      <c r="A55" s="103" t="s">
        <v>239</v>
      </c>
      <c r="B55" s="47">
        <v>3.2808398950131233E-3</v>
      </c>
      <c r="C55" s="45">
        <v>3.2808398950131235</v>
      </c>
      <c r="D55" s="45">
        <v>3280.8398950131236</v>
      </c>
      <c r="E55" s="45">
        <v>1</v>
      </c>
      <c r="F55" s="80">
        <v>5280</v>
      </c>
    </row>
    <row r="56" spans="1:9" s="45" customFormat="1" ht="12.3" x14ac:dyDescent="0.4">
      <c r="A56" s="109" t="s">
        <v>240</v>
      </c>
      <c r="B56" s="123">
        <v>6.2137273664980671E-7</v>
      </c>
      <c r="C56" s="82">
        <v>6.2137273664980672E-4</v>
      </c>
      <c r="D56" s="82">
        <v>0.62137273664980675</v>
      </c>
      <c r="E56" s="82">
        <v>1.8939393939393939E-4</v>
      </c>
      <c r="F56" s="83">
        <v>1</v>
      </c>
    </row>
    <row r="59" spans="1:9" x14ac:dyDescent="0.55000000000000004">
      <c r="A59" s="9" t="s">
        <v>241</v>
      </c>
    </row>
    <row r="60" spans="1:9" x14ac:dyDescent="0.55000000000000004">
      <c r="A60" s="228" t="s">
        <v>39</v>
      </c>
      <c r="B60" s="229" t="s">
        <v>242</v>
      </c>
      <c r="C60" s="230"/>
      <c r="D60" s="230"/>
      <c r="E60" s="231" t="s">
        <v>243</v>
      </c>
      <c r="F60" s="231" t="s">
        <v>244</v>
      </c>
      <c r="G60" s="231" t="s">
        <v>245</v>
      </c>
      <c r="H60" s="231" t="s">
        <v>245</v>
      </c>
      <c r="I60" s="232"/>
    </row>
    <row r="61" spans="1:9" ht="25.5" x14ac:dyDescent="0.55000000000000004">
      <c r="A61" s="150"/>
      <c r="B61" s="233" t="str">
        <f>"Calculation: "&amp;IF(B62=1,"LHV","HHV")</f>
        <v>Calculation: LHV</v>
      </c>
      <c r="C61" s="234" t="s">
        <v>246</v>
      </c>
      <c r="D61" s="234" t="s">
        <v>247</v>
      </c>
      <c r="E61" s="234"/>
      <c r="F61" s="234" t="s">
        <v>248</v>
      </c>
      <c r="G61" s="234" t="s">
        <v>249</v>
      </c>
      <c r="H61" s="235" t="s">
        <v>250</v>
      </c>
      <c r="I61" s="236" t="s">
        <v>251</v>
      </c>
    </row>
    <row r="62" spans="1:9" x14ac:dyDescent="0.55000000000000004">
      <c r="A62" s="237" t="s">
        <v>252</v>
      </c>
      <c r="B62" s="238">
        <v>1</v>
      </c>
      <c r="C62" s="239" t="s">
        <v>253</v>
      </c>
      <c r="D62" s="239"/>
      <c r="E62" s="17"/>
      <c r="F62" s="17"/>
      <c r="G62" s="17"/>
      <c r="H62" s="17"/>
      <c r="I62" s="240"/>
    </row>
    <row r="63" spans="1:9" x14ac:dyDescent="0.55000000000000004">
      <c r="A63" s="241" t="s">
        <v>254</v>
      </c>
      <c r="B63" s="56" t="s">
        <v>255</v>
      </c>
      <c r="C63" s="57" t="s">
        <v>255</v>
      </c>
      <c r="D63" s="57" t="s">
        <v>255</v>
      </c>
      <c r="E63" s="57" t="s">
        <v>256</v>
      </c>
      <c r="F63" s="58"/>
      <c r="G63" s="59"/>
      <c r="H63" s="60"/>
      <c r="I63" s="61" t="s">
        <v>251</v>
      </c>
    </row>
    <row r="64" spans="1:9" x14ac:dyDescent="0.55000000000000004">
      <c r="A64" s="8" t="s">
        <v>257</v>
      </c>
      <c r="B64" s="48">
        <v>290</v>
      </c>
      <c r="C64" s="62">
        <v>290</v>
      </c>
      <c r="D64" s="62">
        <v>343</v>
      </c>
      <c r="E64" s="63">
        <v>2.5499999999999998</v>
      </c>
      <c r="F64" s="55">
        <v>0</v>
      </c>
      <c r="G64" s="49">
        <v>0</v>
      </c>
      <c r="H64" s="50">
        <v>0</v>
      </c>
      <c r="I64" s="51">
        <v>0.84548104956268222</v>
      </c>
    </row>
  </sheetData>
  <dataValidations count="5">
    <dataValidation type="list" allowBlank="1" showInputMessage="1" showErrorMessage="1" sqref="B10" xr:uid="{80F17E3B-9F1B-4429-8127-6228C9FDD8D5}">
      <formula1>"None, GWP, GTP"</formula1>
    </dataValidation>
    <dataValidation type="list" allowBlank="1" showInputMessage="1" showErrorMessage="1" sqref="B11" xr:uid="{1A5D3A66-2CFD-4305-98B8-42677902B323}">
      <formula1>$D$153:$E$153</formula1>
    </dataValidation>
    <dataValidation type="list" allowBlank="1" showInputMessage="1" showErrorMessage="1" sqref="B4" xr:uid="{95A793A8-C2FA-4252-86A1-596B5A62480C}">
      <formula1>IF($B$145="AR6/GTP", $E$146:$F$146, $C$146:$D$146)</formula1>
    </dataValidation>
    <dataValidation type="list" allowBlank="1" showInputMessage="1" showErrorMessage="1" sqref="B3" xr:uid="{9B74791F-980B-45C2-BDF9-AF7F9AD96EA0}">
      <formula1>"AR6/GWP,AR6/GTP,AR5/GWP,AR5/GTP,AR4/GWP,AR3/GWP,AR2/GWP,AR1/GWP"</formula1>
    </dataValidation>
    <dataValidation type="list" allowBlank="1" showInputMessage="1" showErrorMessage="1" sqref="B62" xr:uid="{4923D633-B8EB-45C8-AAF3-2C2A4881B674}">
      <formula1>"1,2"</formula1>
    </dataValidation>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D42C-508E-4566-853A-534751A0DAAB}">
  <sheetPr>
    <tabColor rgb="FFFFFF00"/>
  </sheetPr>
  <dimension ref="A1:S338"/>
  <sheetViews>
    <sheetView showWhiteSpace="0" zoomScale="54" zoomScaleNormal="85" workbookViewId="0">
      <selection activeCell="F35" sqref="F35"/>
    </sheetView>
  </sheetViews>
  <sheetFormatPr defaultColWidth="9.15625" defaultRowHeight="14.4" x14ac:dyDescent="0.55000000000000004"/>
  <cols>
    <col min="1" max="1" width="4.41796875" customWidth="1"/>
    <col min="2" max="9" width="27.26171875" customWidth="1"/>
    <col min="10" max="16" width="19.68359375" customWidth="1"/>
    <col min="18" max="18" width="22.15625" customWidth="1"/>
    <col min="19" max="19" width="21.41796875" customWidth="1"/>
  </cols>
  <sheetData>
    <row r="1" spans="1:11" x14ac:dyDescent="0.55000000000000004">
      <c r="A1" s="35" t="s">
        <v>260</v>
      </c>
      <c r="B1" s="35"/>
      <c r="C1" s="35"/>
      <c r="D1" s="35"/>
      <c r="E1" s="35"/>
      <c r="F1" s="35"/>
      <c r="G1" s="35"/>
      <c r="H1" s="35"/>
      <c r="I1" s="35"/>
      <c r="J1" s="35"/>
      <c r="K1" s="35"/>
    </row>
    <row r="3" spans="1:11" x14ac:dyDescent="0.55000000000000004">
      <c r="B3" s="14" t="s">
        <v>261</v>
      </c>
      <c r="C3" s="14" t="s">
        <v>262</v>
      </c>
      <c r="D3" s="14" t="s">
        <v>263</v>
      </c>
      <c r="E3" s="14" t="s">
        <v>100</v>
      </c>
      <c r="F3" s="14" t="s">
        <v>264</v>
      </c>
      <c r="G3" s="14" t="s">
        <v>265</v>
      </c>
      <c r="H3" s="14" t="s">
        <v>266</v>
      </c>
      <c r="I3" s="14" t="s">
        <v>267</v>
      </c>
      <c r="J3" s="14" t="s">
        <v>268</v>
      </c>
      <c r="K3" s="14" t="s">
        <v>227</v>
      </c>
    </row>
    <row r="4" spans="1:11" x14ac:dyDescent="0.55000000000000004">
      <c r="B4" s="17" t="s">
        <v>269</v>
      </c>
    </row>
    <row r="5" spans="1:11" ht="120.6" thickBot="1" x14ac:dyDescent="0.6">
      <c r="B5" s="18"/>
      <c r="C5" s="19"/>
      <c r="D5" s="20" t="s">
        <v>270</v>
      </c>
      <c r="E5" s="21" t="s">
        <v>271</v>
      </c>
      <c r="F5" s="21" t="s">
        <v>272</v>
      </c>
      <c r="G5" s="21" t="s">
        <v>273</v>
      </c>
      <c r="H5" s="21" t="s">
        <v>274</v>
      </c>
      <c r="I5" s="21" t="s">
        <v>275</v>
      </c>
      <c r="J5" s="22" t="s">
        <v>276</v>
      </c>
      <c r="K5" s="23" t="s">
        <v>277</v>
      </c>
    </row>
    <row r="6" spans="1:11" ht="14.7" thickBot="1" x14ac:dyDescent="0.6">
      <c r="A6" s="13">
        <v>60</v>
      </c>
      <c r="B6" s="18" t="s">
        <v>278</v>
      </c>
      <c r="C6" s="19"/>
      <c r="D6" s="24">
        <v>0.6701651632099429</v>
      </c>
      <c r="E6" s="25">
        <v>0.6701651632099429</v>
      </c>
      <c r="F6" s="25"/>
      <c r="G6" s="25"/>
      <c r="H6" s="36">
        <f>1/(F7/H7+F8/H8+F9/H9)</f>
        <v>0.32264719014886878</v>
      </c>
      <c r="I6" s="275">
        <f>1/(G7/I7+G8/I8+G9/I9)</f>
        <v>0.32264719014886878</v>
      </c>
      <c r="J6" s="25">
        <v>0.01</v>
      </c>
      <c r="K6" s="26">
        <v>0.01</v>
      </c>
    </row>
    <row r="7" spans="1:11" x14ac:dyDescent="0.55000000000000004">
      <c r="A7" s="13">
        <v>61</v>
      </c>
      <c r="B7" s="8" t="s">
        <v>279</v>
      </c>
      <c r="D7" s="27"/>
      <c r="E7" s="28"/>
      <c r="F7" s="28">
        <v>0.86046707015891399</v>
      </c>
      <c r="G7" s="28">
        <v>0.86046707015891399</v>
      </c>
      <c r="H7" s="28">
        <v>0.33105767792322299</v>
      </c>
      <c r="I7" s="28">
        <v>0.33105767792322299</v>
      </c>
      <c r="J7" s="28"/>
      <c r="K7" s="29"/>
    </row>
    <row r="8" spans="1:11" x14ac:dyDescent="0.55000000000000004">
      <c r="A8" s="13">
        <v>62</v>
      </c>
      <c r="B8" s="8" t="s">
        <v>280</v>
      </c>
      <c r="D8" s="27"/>
      <c r="E8" s="28"/>
      <c r="F8" s="28">
        <v>7.981014681959761E-2</v>
      </c>
      <c r="G8" s="28">
        <v>7.981014681959761E-2</v>
      </c>
      <c r="H8" s="28">
        <v>0.36697707441917199</v>
      </c>
      <c r="I8" s="28">
        <v>0.36697707441917199</v>
      </c>
      <c r="J8" s="28"/>
      <c r="K8" s="29"/>
    </row>
    <row r="9" spans="1:11" x14ac:dyDescent="0.55000000000000004">
      <c r="A9" s="13">
        <v>63</v>
      </c>
      <c r="B9" s="8" t="s">
        <v>281</v>
      </c>
      <c r="D9" s="27"/>
      <c r="E9" s="28"/>
      <c r="F9" s="28">
        <v>5.9722783021488403E-2</v>
      </c>
      <c r="G9" s="28">
        <v>5.9722783021488403E-2</v>
      </c>
      <c r="H9" s="28">
        <v>0.21123220166038101</v>
      </c>
      <c r="I9" s="28">
        <v>0.21123220166038101</v>
      </c>
      <c r="J9" s="28"/>
      <c r="K9" s="29"/>
    </row>
    <row r="10" spans="1:11" x14ac:dyDescent="0.55000000000000004">
      <c r="A10" s="13"/>
      <c r="B10" s="30" t="s">
        <v>467</v>
      </c>
      <c r="C10" s="31"/>
      <c r="D10" s="32"/>
      <c r="E10" s="33"/>
      <c r="F10" s="33"/>
      <c r="G10" s="33"/>
      <c r="H10" s="33"/>
      <c r="I10" s="28">
        <f>3412/9696</f>
        <v>0.3518976897689769</v>
      </c>
      <c r="J10" s="33"/>
      <c r="K10" s="34"/>
    </row>
    <row r="11" spans="1:11" x14ac:dyDescent="0.55000000000000004">
      <c r="A11" s="13">
        <v>64</v>
      </c>
      <c r="B11" s="8" t="s">
        <v>282</v>
      </c>
      <c r="D11" s="133">
        <v>0</v>
      </c>
      <c r="E11" s="53">
        <v>0</v>
      </c>
      <c r="F11" s="53"/>
      <c r="G11" s="53"/>
      <c r="H11" s="329">
        <f>1/(F12/H12+F13/H13+F14/H14+F15/H15)</f>
        <v>0.328993739407409</v>
      </c>
      <c r="I11" s="331">
        <f>1/(G12/I12+G13/I13+G14/I14+G15/I15)</f>
        <v>0.46164072700968145</v>
      </c>
      <c r="J11" s="330">
        <v>0.313</v>
      </c>
      <c r="K11" s="134">
        <v>0.313</v>
      </c>
    </row>
    <row r="12" spans="1:11" x14ac:dyDescent="0.55000000000000004">
      <c r="A12" s="13">
        <v>65</v>
      </c>
      <c r="B12" s="8" t="s">
        <v>279</v>
      </c>
      <c r="D12" s="133"/>
      <c r="E12" s="53"/>
      <c r="F12" s="53">
        <v>0</v>
      </c>
      <c r="G12" s="53">
        <v>0</v>
      </c>
      <c r="H12" s="53">
        <v>0.33846092598101002</v>
      </c>
      <c r="I12" s="332">
        <v>0.33846092598101002</v>
      </c>
      <c r="J12" s="53"/>
      <c r="K12" s="134"/>
    </row>
    <row r="13" spans="1:11" ht="14.25" customHeight="1" x14ac:dyDescent="0.55000000000000004">
      <c r="A13" s="13">
        <v>66</v>
      </c>
      <c r="B13" s="8" t="s">
        <v>283</v>
      </c>
      <c r="D13" s="133"/>
      <c r="E13" s="53"/>
      <c r="F13" s="53">
        <v>1</v>
      </c>
      <c r="G13" s="53">
        <v>4.7970002031892417E-2</v>
      </c>
      <c r="H13" s="53">
        <v>0.328993739407409</v>
      </c>
      <c r="I13" s="328">
        <v>0.33484000000000003</v>
      </c>
      <c r="J13" s="53"/>
      <c r="K13" s="134"/>
    </row>
    <row r="14" spans="1:11" x14ac:dyDescent="0.55000000000000004">
      <c r="A14" s="13">
        <v>67</v>
      </c>
      <c r="B14" s="8" t="s">
        <v>284</v>
      </c>
      <c r="D14" s="133"/>
      <c r="E14" s="53"/>
      <c r="F14" s="53">
        <v>0</v>
      </c>
      <c r="G14" s="53">
        <v>0.95202999796810761</v>
      </c>
      <c r="H14" s="53">
        <v>0.51603876203526999</v>
      </c>
      <c r="I14" s="327">
        <v>0.4706206896551724</v>
      </c>
      <c r="J14" s="53"/>
      <c r="K14" s="134"/>
    </row>
    <row r="15" spans="1:11" x14ac:dyDescent="0.55000000000000004">
      <c r="A15" s="13">
        <v>68</v>
      </c>
      <c r="B15" s="30" t="s">
        <v>280</v>
      </c>
      <c r="C15" s="31"/>
      <c r="D15" s="135"/>
      <c r="E15" s="136"/>
      <c r="F15" s="136">
        <v>0</v>
      </c>
      <c r="G15" s="136">
        <v>0</v>
      </c>
      <c r="H15" s="136">
        <v>0.41022886119630197</v>
      </c>
      <c r="I15" s="136">
        <v>0.41022886119630197</v>
      </c>
      <c r="J15" s="136"/>
      <c r="K15" s="137"/>
    </row>
    <row r="16" spans="1:11" x14ac:dyDescent="0.55000000000000004">
      <c r="B16" s="8"/>
      <c r="I16" s="53"/>
    </row>
    <row r="18" spans="1:8" x14ac:dyDescent="0.55000000000000004">
      <c r="E18" s="14" t="s">
        <v>100</v>
      </c>
    </row>
    <row r="19" spans="1:8" x14ac:dyDescent="0.55000000000000004">
      <c r="A19" s="13">
        <v>101</v>
      </c>
      <c r="B19" s="10" t="s">
        <v>285</v>
      </c>
      <c r="E19" s="15">
        <v>5.3999999999999999E-2</v>
      </c>
    </row>
    <row r="21" spans="1:8" ht="14.7" thickBot="1" x14ac:dyDescent="0.6"/>
    <row r="22" spans="1:8" x14ac:dyDescent="0.55000000000000004">
      <c r="A22" s="262"/>
      <c r="B22" s="263"/>
      <c r="C22" s="263"/>
      <c r="D22" s="263"/>
      <c r="E22" s="263"/>
      <c r="F22" s="263"/>
      <c r="G22" s="263"/>
      <c r="H22" s="264"/>
    </row>
    <row r="23" spans="1:8" x14ac:dyDescent="0.55000000000000004">
      <c r="A23" s="265"/>
      <c r="B23" s="10" t="s">
        <v>286</v>
      </c>
      <c r="H23" s="266"/>
    </row>
    <row r="24" spans="1:8" x14ac:dyDescent="0.55000000000000004">
      <c r="A24" s="265"/>
      <c r="B24" s="10"/>
      <c r="C24" s="14" t="s">
        <v>265</v>
      </c>
      <c r="H24" s="266"/>
    </row>
    <row r="25" spans="1:8" s="243" customFormat="1" ht="56.5" customHeight="1" x14ac:dyDescent="0.55000000000000004">
      <c r="A25" s="311"/>
      <c r="C25" s="312" t="s">
        <v>287</v>
      </c>
      <c r="D25" s="312" t="s">
        <v>288</v>
      </c>
      <c r="E25" s="312" t="s">
        <v>289</v>
      </c>
      <c r="F25" s="312" t="s">
        <v>290</v>
      </c>
      <c r="G25" s="312" t="s">
        <v>291</v>
      </c>
      <c r="H25" s="313"/>
    </row>
    <row r="26" spans="1:8" ht="14.7" thickBot="1" x14ac:dyDescent="0.6">
      <c r="A26" s="265"/>
      <c r="B26" s="140" t="s">
        <v>292</v>
      </c>
      <c r="C26" s="142" t="s">
        <v>96</v>
      </c>
      <c r="D26" s="16"/>
      <c r="E26" s="16"/>
      <c r="F26" s="16"/>
      <c r="G26" s="16"/>
      <c r="H26" s="266"/>
    </row>
    <row r="27" spans="1:8" ht="14.7" thickBot="1" x14ac:dyDescent="0.6">
      <c r="A27" s="267">
        <v>137</v>
      </c>
      <c r="B27" s="219" t="s">
        <v>293</v>
      </c>
      <c r="C27" s="276">
        <f>10^6/$I$6/(1-$E$19)</f>
        <v>3276279.7405536184</v>
      </c>
      <c r="D27" s="271">
        <f>10^6/$I$7/(1-$E$19)</f>
        <v>3193046.1757073104</v>
      </c>
      <c r="E27" s="143">
        <f>10^6/$I$8/(1-$E$19)</f>
        <v>2880513.5963993738</v>
      </c>
      <c r="F27" s="143">
        <f>10^6/$I$9/(1-$E$19)</f>
        <v>5004362.2332302639</v>
      </c>
      <c r="G27" s="143">
        <f>10^6/$I$10/(1-$E$19)</f>
        <v>3003948.2587261973</v>
      </c>
      <c r="H27" s="266"/>
    </row>
    <row r="28" spans="1:8" x14ac:dyDescent="0.55000000000000004">
      <c r="A28" s="265"/>
      <c r="B28" s="8"/>
      <c r="H28" s="266"/>
    </row>
    <row r="29" spans="1:8" s="243" customFormat="1" ht="29.1" thickBot="1" x14ac:dyDescent="0.6">
      <c r="A29" s="311"/>
      <c r="C29" s="314" t="s">
        <v>294</v>
      </c>
      <c r="D29" s="312" t="s">
        <v>295</v>
      </c>
      <c r="E29" s="312" t="s">
        <v>296</v>
      </c>
      <c r="F29" s="314" t="s">
        <v>297</v>
      </c>
      <c r="G29" s="312" t="s">
        <v>298</v>
      </c>
      <c r="H29" s="313"/>
    </row>
    <row r="30" spans="1:8" ht="14.7" thickBot="1" x14ac:dyDescent="0.6">
      <c r="A30" s="267">
        <v>138</v>
      </c>
      <c r="B30" s="219" t="s">
        <v>299</v>
      </c>
      <c r="C30" s="274">
        <f>10^6/$I$11/(1-$E$19)</f>
        <v>2289837.9423293835</v>
      </c>
      <c r="D30" s="271">
        <f>10^6/$I$12/(1-$E$19)</f>
        <v>3123203.8066651132</v>
      </c>
      <c r="E30" s="272">
        <f>10^6/$I$13/(1-$E$19)</f>
        <v>3156977.8175585046</v>
      </c>
      <c r="F30" s="143">
        <f>10^6/$I$14/(1-$E$19)</f>
        <v>2246145.3048437429</v>
      </c>
      <c r="G30" s="271">
        <f>10^6/$I$15/(1-$E$19)</f>
        <v>2576811.5128434529</v>
      </c>
      <c r="H30" s="266"/>
    </row>
    <row r="31" spans="1:8" ht="14.7" thickBot="1" x14ac:dyDescent="0.6">
      <c r="A31" s="268"/>
      <c r="B31" s="269"/>
      <c r="C31" s="269"/>
      <c r="D31" s="269"/>
      <c r="E31" s="269"/>
      <c r="F31" s="269"/>
      <c r="G31" s="269"/>
      <c r="H31" s="270"/>
    </row>
    <row r="33" spans="1:9" x14ac:dyDescent="0.55000000000000004">
      <c r="B33" s="9" t="s">
        <v>300</v>
      </c>
    </row>
    <row r="34" spans="1:9" x14ac:dyDescent="0.55000000000000004">
      <c r="C34" s="14" t="s">
        <v>301</v>
      </c>
      <c r="D34" s="14" t="s">
        <v>302</v>
      </c>
      <c r="E34" s="14" t="s">
        <v>303</v>
      </c>
      <c r="F34" s="14" t="s">
        <v>304</v>
      </c>
      <c r="G34" s="14" t="s">
        <v>305</v>
      </c>
      <c r="H34" s="14" t="s">
        <v>306</v>
      </c>
      <c r="I34" s="14" t="s">
        <v>307</v>
      </c>
    </row>
    <row r="35" spans="1:9" s="243" customFormat="1" ht="36" customHeight="1" x14ac:dyDescent="0.55000000000000004">
      <c r="B35" s="294" t="s">
        <v>308</v>
      </c>
      <c r="C35" s="294" t="s">
        <v>309</v>
      </c>
      <c r="D35" s="294" t="s">
        <v>310</v>
      </c>
      <c r="E35" s="294" t="s">
        <v>311</v>
      </c>
      <c r="F35" s="294" t="s">
        <v>295</v>
      </c>
      <c r="G35" s="294" t="s">
        <v>296</v>
      </c>
      <c r="H35" s="294" t="s">
        <v>297</v>
      </c>
      <c r="I35" s="294" t="s">
        <v>298</v>
      </c>
    </row>
    <row r="36" spans="1:9" ht="15" customHeight="1" x14ac:dyDescent="0.55000000000000004">
      <c r="A36" s="13">
        <v>107</v>
      </c>
      <c r="B36" s="38" t="s">
        <v>185</v>
      </c>
      <c r="C36" s="43">
        <v>1.1319449707586301E-2</v>
      </c>
      <c r="D36" s="43">
        <v>0.10926028000013201</v>
      </c>
      <c r="E36" s="43">
        <v>0.109869740501257</v>
      </c>
      <c r="F36" s="43">
        <v>2.5051561742428601E-2</v>
      </c>
      <c r="G36" s="43">
        <v>1.7131637658183398E-2</v>
      </c>
      <c r="H36" s="43">
        <v>4.4122602949516502E-3</v>
      </c>
      <c r="I36" s="43">
        <v>9.3365985523953796E-2</v>
      </c>
    </row>
    <row r="37" spans="1:9" x14ac:dyDescent="0.55000000000000004">
      <c r="A37" s="13">
        <v>108</v>
      </c>
      <c r="B37" s="38" t="s">
        <v>186</v>
      </c>
      <c r="C37" s="43">
        <v>8.1784221851779998E-2</v>
      </c>
      <c r="D37" s="43">
        <v>0.140866613857448</v>
      </c>
      <c r="E37" s="43">
        <v>1.75678792174419</v>
      </c>
      <c r="F37" s="43">
        <v>0.33892163548401499</v>
      </c>
      <c r="G37" s="43">
        <v>0.150951360251704</v>
      </c>
      <c r="H37" s="43">
        <v>3.3549458711825603E-2</v>
      </c>
      <c r="I37" s="43">
        <v>0.18256462164696499</v>
      </c>
    </row>
    <row r="38" spans="1:9" x14ac:dyDescent="0.55000000000000004">
      <c r="A38" s="13">
        <v>109</v>
      </c>
      <c r="B38" s="38" t="s">
        <v>187</v>
      </c>
      <c r="C38" s="43">
        <v>2.25149016077915</v>
      </c>
      <c r="D38" s="43">
        <v>7.9298172229368697</v>
      </c>
      <c r="E38" s="43">
        <v>4.65714486835284</v>
      </c>
      <c r="F38" s="43">
        <v>0.65372437802114602</v>
      </c>
      <c r="G38" s="43">
        <v>0.26417327793786199</v>
      </c>
      <c r="H38" s="43">
        <v>4.98845408080602E-2</v>
      </c>
      <c r="I38" s="43">
        <v>0.16673237300337801</v>
      </c>
    </row>
    <row r="39" spans="1:9" x14ac:dyDescent="0.55000000000000004">
      <c r="A39" s="13">
        <v>110</v>
      </c>
      <c r="B39" s="38" t="s">
        <v>312</v>
      </c>
      <c r="C39" s="43">
        <v>0.160668861240955</v>
      </c>
      <c r="D39" s="43">
        <v>0.214220366823313</v>
      </c>
      <c r="E39" s="43">
        <v>0.28978999259057098</v>
      </c>
      <c r="F39" s="43">
        <v>3.5658514898826203E-2</v>
      </c>
      <c r="G39" s="43">
        <v>4.0970272094776002E-2</v>
      </c>
      <c r="H39" s="43">
        <v>1.7084502761494501E-2</v>
      </c>
      <c r="I39" s="43">
        <v>5.4433758760988903E-2</v>
      </c>
    </row>
    <row r="40" spans="1:9" x14ac:dyDescent="0.55000000000000004">
      <c r="A40" s="13">
        <v>111</v>
      </c>
      <c r="B40" s="38" t="s">
        <v>313</v>
      </c>
      <c r="C40" s="43">
        <v>0.130803502361102</v>
      </c>
      <c r="D40" s="43">
        <v>0.20774869149137401</v>
      </c>
      <c r="E40" s="43">
        <v>0.25238646300510997</v>
      </c>
      <c r="F40" s="43">
        <v>3.5478902072326401E-2</v>
      </c>
      <c r="G40" s="43">
        <v>4.0560529726216502E-2</v>
      </c>
      <c r="H40" s="43">
        <v>1.6500810179488502E-2</v>
      </c>
      <c r="I40" s="43">
        <v>5.4419612707112597E-2</v>
      </c>
    </row>
    <row r="41" spans="1:9" x14ac:dyDescent="0.55000000000000004">
      <c r="A41" s="13">
        <v>112</v>
      </c>
      <c r="B41" s="38" t="s">
        <v>314</v>
      </c>
      <c r="C41" s="43">
        <v>2.7373438914475101</v>
      </c>
      <c r="D41" s="43">
        <v>1.4726594208097001E-3</v>
      </c>
      <c r="E41" s="43">
        <v>1.0669116865220301</v>
      </c>
      <c r="F41" s="43">
        <v>1.0305927812768199E-2</v>
      </c>
      <c r="G41" s="43">
        <v>4.6500044388408301E-3</v>
      </c>
      <c r="H41" s="43">
        <v>7.2096371191976098E-3</v>
      </c>
      <c r="I41" s="43">
        <v>1.12004515336775E-2</v>
      </c>
    </row>
    <row r="42" spans="1:9" x14ac:dyDescent="0.55000000000000004">
      <c r="A42" s="13">
        <v>113</v>
      </c>
      <c r="B42" s="38" t="s">
        <v>188</v>
      </c>
      <c r="C42" s="43">
        <v>8.2929420496938664E-3</v>
      </c>
      <c r="D42" s="43">
        <v>3.1162303723706101E-2</v>
      </c>
      <c r="E42" s="43">
        <v>1.5143187780306598E-2</v>
      </c>
      <c r="F42" s="43">
        <v>5.8540188419338567E-3</v>
      </c>
      <c r="G42" s="43">
        <v>1.1762553620602784E-3</v>
      </c>
      <c r="H42" s="43">
        <v>4.7852349520516654E-4</v>
      </c>
      <c r="I42" s="43">
        <v>1.0883922541422519E-2</v>
      </c>
    </row>
    <row r="43" spans="1:9" x14ac:dyDescent="0.55000000000000004">
      <c r="A43" s="13">
        <v>114</v>
      </c>
      <c r="B43" s="38" t="s">
        <v>189</v>
      </c>
      <c r="C43" s="43">
        <v>5.7553541038884879E-3</v>
      </c>
      <c r="D43" s="43">
        <v>8.1021989681635861E-2</v>
      </c>
      <c r="E43" s="43">
        <v>1.0095458520204399E-2</v>
      </c>
      <c r="F43" s="43">
        <v>1.5184970086955699E-2</v>
      </c>
      <c r="G43" s="43">
        <v>2.758116021382722E-2</v>
      </c>
      <c r="H43" s="43">
        <v>1.1220550922052182E-2</v>
      </c>
      <c r="I43" s="43">
        <v>2.329159423864419E-2</v>
      </c>
    </row>
    <row r="44" spans="1:9" x14ac:dyDescent="0.55000000000000004">
      <c r="A44" s="13">
        <v>115</v>
      </c>
      <c r="B44" s="38" t="s">
        <v>179</v>
      </c>
      <c r="C44" s="344">
        <v>2.93E-2</v>
      </c>
      <c r="D44" s="344">
        <v>7.0413436548348696E-2</v>
      </c>
      <c r="E44" s="344">
        <v>4.7950866473962399E-2</v>
      </c>
      <c r="F44" s="344">
        <v>0.01</v>
      </c>
      <c r="G44" s="344">
        <v>2.9940453061075799E-2</v>
      </c>
      <c r="H44" s="344">
        <v>9.0447853411960901E-3</v>
      </c>
      <c r="I44" s="344">
        <v>8.3051925782290804E-3</v>
      </c>
    </row>
    <row r="45" spans="1:9" x14ac:dyDescent="0.55000000000000004">
      <c r="A45" s="13">
        <v>116</v>
      </c>
      <c r="B45" s="38" t="s">
        <v>180</v>
      </c>
      <c r="C45" s="43">
        <v>5.8999999999999999E-3</v>
      </c>
      <c r="D45" s="43">
        <v>6.8974501009871306E-2</v>
      </c>
      <c r="E45" s="43">
        <v>1.0154810309636201E-2</v>
      </c>
      <c r="F45" s="43">
        <v>1E-3</v>
      </c>
      <c r="G45" s="43">
        <v>8.0954810320013997E-3</v>
      </c>
      <c r="H45" s="43">
        <v>8.1385974938353992E-4</v>
      </c>
      <c r="I45" s="43">
        <v>2.0391313373897399E-3</v>
      </c>
    </row>
    <row r="46" spans="1:9" x14ac:dyDescent="0.55000000000000004">
      <c r="A46" s="13">
        <v>117</v>
      </c>
      <c r="B46" s="42" t="s">
        <v>315</v>
      </c>
      <c r="C46" s="44">
        <v>876.66992375955556</v>
      </c>
      <c r="D46" s="44">
        <v>790.3271614388201</v>
      </c>
      <c r="E46" s="44">
        <v>1371.1256177491089</v>
      </c>
      <c r="F46" s="44">
        <v>598.32162754034528</v>
      </c>
      <c r="G46" s="44">
        <v>615.82263821218203</v>
      </c>
      <c r="H46" s="44">
        <v>392.75605710410525</v>
      </c>
      <c r="I46" s="44">
        <v>493.57340454816369</v>
      </c>
    </row>
    <row r="50" spans="2:16" x14ac:dyDescent="0.55000000000000004">
      <c r="B50" s="37"/>
      <c r="C50" s="561" t="s">
        <v>287</v>
      </c>
      <c r="D50" s="562"/>
      <c r="E50" s="561" t="s">
        <v>288</v>
      </c>
      <c r="F50" s="562"/>
      <c r="G50" s="561" t="s">
        <v>289</v>
      </c>
      <c r="H50" s="562"/>
      <c r="I50" s="561" t="s">
        <v>290</v>
      </c>
      <c r="J50" s="562"/>
      <c r="K50" s="559" t="s">
        <v>316</v>
      </c>
      <c r="L50" s="560"/>
      <c r="M50" s="559" t="s">
        <v>317</v>
      </c>
      <c r="N50" s="560"/>
      <c r="O50" s="559" t="s">
        <v>318</v>
      </c>
      <c r="P50" s="560"/>
    </row>
    <row r="51" spans="2:16" x14ac:dyDescent="0.55000000000000004">
      <c r="B51" s="38"/>
      <c r="C51" s="561" t="s">
        <v>96</v>
      </c>
      <c r="D51" s="562"/>
      <c r="E51" s="561" t="s">
        <v>96</v>
      </c>
      <c r="F51" s="562"/>
      <c r="G51" s="561" t="s">
        <v>96</v>
      </c>
      <c r="H51" s="562"/>
      <c r="I51" s="561" t="s">
        <v>96</v>
      </c>
      <c r="J51" s="562"/>
      <c r="K51" s="561" t="s">
        <v>96</v>
      </c>
      <c r="L51" s="562"/>
      <c r="M51" s="561" t="s">
        <v>96</v>
      </c>
      <c r="N51" s="562"/>
      <c r="O51" s="561" t="s">
        <v>96</v>
      </c>
      <c r="P51" s="562"/>
    </row>
    <row r="52" spans="2:16" x14ac:dyDescent="0.55000000000000004">
      <c r="B52" s="42"/>
      <c r="C52" s="11" t="s">
        <v>95</v>
      </c>
      <c r="D52" s="12" t="s">
        <v>39</v>
      </c>
      <c r="E52" s="11" t="s">
        <v>95</v>
      </c>
      <c r="F52" s="12" t="s">
        <v>39</v>
      </c>
      <c r="G52" s="11" t="s">
        <v>95</v>
      </c>
      <c r="H52" s="12" t="s">
        <v>39</v>
      </c>
      <c r="I52" s="11" t="s">
        <v>95</v>
      </c>
      <c r="J52" s="12" t="s">
        <v>39</v>
      </c>
      <c r="K52" s="11" t="s">
        <v>95</v>
      </c>
      <c r="L52" s="12" t="s">
        <v>39</v>
      </c>
      <c r="M52" s="11" t="s">
        <v>95</v>
      </c>
      <c r="N52" s="12" t="s">
        <v>39</v>
      </c>
      <c r="O52" s="11" t="s">
        <v>95</v>
      </c>
      <c r="P52" s="12" t="s">
        <v>39</v>
      </c>
    </row>
    <row r="53" spans="2:16" x14ac:dyDescent="0.55000000000000004">
      <c r="B53" s="38" t="s">
        <v>185</v>
      </c>
      <c r="C53" s="124">
        <f t="shared" ref="C53:C63" si="0">$C$27*($C101*$F$100+$F101)/10^6</f>
        <v>20.03640147994928</v>
      </c>
      <c r="D53" s="125">
        <f t="shared" ref="D53:D63" si="1">(C36*$G$7+D36*$G$8+E36*$G$9)/(1-$E$19)/kWh2mmBTU</f>
        <v>7.751766772821453</v>
      </c>
      <c r="E53" s="125">
        <f t="shared" ref="E53:E63" si="2">$D$27*($C101*$F$100+$F101)/10^6</f>
        <v>19.527378669343307</v>
      </c>
      <c r="F53" s="125">
        <f t="shared" ref="F53:F63" si="3">C36/(1-$E$19)/kWh2mmBTU</f>
        <v>3.5067687434724331</v>
      </c>
      <c r="G53" s="125">
        <f t="shared" ref="G53:G63" si="4">$E$27*($C101*$F$100+$F101)/10^6</f>
        <v>17.616055848807914</v>
      </c>
      <c r="H53" s="125">
        <f t="shared" ref="H53:H63" si="5">D36/(1-$E$19)/kWh2mmBTU</f>
        <v>33.848865864099508</v>
      </c>
      <c r="I53" s="125">
        <f t="shared" ref="I53:I63" si="6">$F$27*($C101*$F$100+$F101)/10^6</f>
        <v>30.604654912389698</v>
      </c>
      <c r="J53" s="125">
        <f t="shared" ref="J53:J63" si="7">E36/(1-$E$19)/kWh2mmBTU</f>
        <v>34.037676900937612</v>
      </c>
      <c r="K53" s="161">
        <f t="shared" ref="K53:K63" si="8">$G$27*($C217*$D$216+$D217)/10^6</f>
        <v>181.31599705536135</v>
      </c>
      <c r="L53" s="161"/>
      <c r="M53" s="161">
        <f t="shared" ref="M53:M63" si="9">$G$27*($E217*$F$216+$F217)/10^6</f>
        <v>692.56918513690709</v>
      </c>
      <c r="N53" s="161"/>
      <c r="O53" s="161">
        <f t="shared" ref="O53:O63" si="10">$G$27*($C243*$D$241+$D243)/10^6</f>
        <v>63.830599958030383</v>
      </c>
      <c r="P53" s="161"/>
    </row>
    <row r="54" spans="2:16" x14ac:dyDescent="0.55000000000000004">
      <c r="B54" s="38" t="s">
        <v>186</v>
      </c>
      <c r="C54" s="124">
        <f t="shared" si="0"/>
        <v>35.608989221117838</v>
      </c>
      <c r="D54" s="125">
        <f t="shared" si="1"/>
        <v>57.788744450146154</v>
      </c>
      <c r="E54" s="125">
        <f t="shared" si="2"/>
        <v>34.704346349277301</v>
      </c>
      <c r="F54" s="125">
        <f t="shared" si="3"/>
        <v>25.336775223871953</v>
      </c>
      <c r="G54" s="125">
        <f t="shared" si="4"/>
        <v>31.30751514769501</v>
      </c>
      <c r="H54" s="125">
        <f t="shared" si="5"/>
        <v>43.640517095369859</v>
      </c>
      <c r="I54" s="125">
        <f t="shared" si="6"/>
        <v>54.391045616743881</v>
      </c>
      <c r="J54" s="125">
        <f t="shared" si="7"/>
        <v>544.25339853345952</v>
      </c>
      <c r="K54" s="161">
        <f t="shared" si="8"/>
        <v>122.51873948445787</v>
      </c>
      <c r="L54" s="161"/>
      <c r="M54" s="161">
        <f t="shared" si="9"/>
        <v>6697.9683746593146</v>
      </c>
      <c r="N54" s="161"/>
      <c r="O54" s="161">
        <f t="shared" si="10"/>
        <v>51.847427661731558</v>
      </c>
      <c r="P54" s="161"/>
    </row>
    <row r="55" spans="2:16" x14ac:dyDescent="0.55000000000000004">
      <c r="B55" s="38" t="s">
        <v>187</v>
      </c>
      <c r="C55" s="124">
        <f t="shared" si="0"/>
        <v>85.296707776956325</v>
      </c>
      <c r="D55" s="125">
        <f t="shared" si="1"/>
        <v>882.4198492888346</v>
      </c>
      <c r="E55" s="125">
        <f t="shared" si="2"/>
        <v>83.129753298053927</v>
      </c>
      <c r="F55" s="125">
        <f t="shared" si="3"/>
        <v>697.51229309005248</v>
      </c>
      <c r="G55" s="125">
        <f t="shared" si="4"/>
        <v>74.993085431132741</v>
      </c>
      <c r="H55" s="125">
        <f t="shared" si="5"/>
        <v>2456.6596342759867</v>
      </c>
      <c r="I55" s="125">
        <f t="shared" si="6"/>
        <v>130.2866839282012</v>
      </c>
      <c r="J55" s="125">
        <f t="shared" si="7"/>
        <v>1442.7848066869699</v>
      </c>
      <c r="K55" s="161">
        <f t="shared" si="8"/>
        <v>284.34304992154659</v>
      </c>
      <c r="L55" s="161"/>
      <c r="M55" s="161">
        <f t="shared" si="9"/>
        <v>1002.0969290579053</v>
      </c>
      <c r="N55" s="161"/>
      <c r="O55" s="161">
        <f t="shared" si="10"/>
        <v>99.264478461466467</v>
      </c>
      <c r="P55" s="161"/>
    </row>
    <row r="56" spans="2:16" x14ac:dyDescent="0.55000000000000004">
      <c r="B56" s="38" t="s">
        <v>312</v>
      </c>
      <c r="C56" s="124">
        <f t="shared" si="0"/>
        <v>5.799660006696433</v>
      </c>
      <c r="D56" s="125">
        <f t="shared" si="1"/>
        <v>53.488347621884067</v>
      </c>
      <c r="E56" s="125">
        <f t="shared" si="2"/>
        <v>5.6523202141632298</v>
      </c>
      <c r="F56" s="125">
        <f t="shared" si="3"/>
        <v>49.775258974955321</v>
      </c>
      <c r="G56" s="125">
        <f t="shared" si="4"/>
        <v>5.0990760334036107</v>
      </c>
      <c r="H56" s="125">
        <f t="shared" si="5"/>
        <v>66.365530657177089</v>
      </c>
      <c r="I56" s="125">
        <f t="shared" si="6"/>
        <v>8.8587061549827446</v>
      </c>
      <c r="J56" s="125">
        <f t="shared" si="7"/>
        <v>89.777022243991837</v>
      </c>
      <c r="K56" s="161">
        <f t="shared" si="8"/>
        <v>49.935341063453883</v>
      </c>
      <c r="L56" s="161"/>
      <c r="M56" s="161">
        <f t="shared" si="9"/>
        <v>939.62418222749636</v>
      </c>
      <c r="N56" s="161"/>
      <c r="O56" s="161">
        <f t="shared" si="10"/>
        <v>6.7125838318058877</v>
      </c>
      <c r="P56" s="161"/>
    </row>
    <row r="57" spans="2:16" x14ac:dyDescent="0.55000000000000004">
      <c r="B57" s="38" t="s">
        <v>313</v>
      </c>
      <c r="C57" s="124">
        <f t="shared" si="0"/>
        <v>5.0569345104714234</v>
      </c>
      <c r="D57" s="125">
        <f t="shared" si="1"/>
        <v>44.674992330908864</v>
      </c>
      <c r="E57" s="125">
        <f t="shared" si="2"/>
        <v>4.9284635861816275</v>
      </c>
      <c r="F57" s="125">
        <f t="shared" si="3"/>
        <v>40.522962287576199</v>
      </c>
      <c r="G57" s="125">
        <f t="shared" si="4"/>
        <v>4.4460698618649461</v>
      </c>
      <c r="H57" s="125">
        <f t="shared" si="5"/>
        <v>64.360603796047513</v>
      </c>
      <c r="I57" s="125">
        <f t="shared" si="6"/>
        <v>7.7242281136365021</v>
      </c>
      <c r="J57" s="125">
        <f t="shared" si="7"/>
        <v>78.189398124955915</v>
      </c>
      <c r="K57" s="161">
        <f t="shared" si="8"/>
        <v>19.410224508954986</v>
      </c>
      <c r="L57" s="161"/>
      <c r="M57" s="161">
        <f t="shared" si="9"/>
        <v>382.08865084362384</v>
      </c>
      <c r="N57" s="161"/>
      <c r="O57" s="161">
        <f t="shared" si="10"/>
        <v>5.5272439271146414</v>
      </c>
      <c r="P57" s="161"/>
    </row>
    <row r="58" spans="2:16" x14ac:dyDescent="0.55000000000000004">
      <c r="B58" s="38" t="s">
        <v>314</v>
      </c>
      <c r="C58" s="124">
        <f t="shared" si="0"/>
        <v>39.104963371819814</v>
      </c>
      <c r="D58" s="125">
        <f t="shared" si="1"/>
        <v>749.47837435811391</v>
      </c>
      <c r="E58" s="125">
        <f t="shared" si="2"/>
        <v>38.111505620232684</v>
      </c>
      <c r="F58" s="125">
        <f t="shared" si="3"/>
        <v>848.02991723439652</v>
      </c>
      <c r="G58" s="125">
        <f t="shared" si="4"/>
        <v>34.381184636020251</v>
      </c>
      <c r="H58" s="125">
        <f t="shared" si="5"/>
        <v>0.456230308017056</v>
      </c>
      <c r="I58" s="125">
        <f t="shared" si="6"/>
        <v>59.730980663061366</v>
      </c>
      <c r="J58" s="125">
        <f t="shared" si="7"/>
        <v>330.5295443676398</v>
      </c>
      <c r="K58" s="161">
        <f t="shared" si="8"/>
        <v>75.454526009342018</v>
      </c>
      <c r="L58" s="161"/>
      <c r="M58" s="161">
        <f t="shared" si="9"/>
        <v>245.78796087142067</v>
      </c>
      <c r="N58" s="161"/>
      <c r="O58" s="161">
        <f t="shared" si="10"/>
        <v>54.620479113444709</v>
      </c>
      <c r="P58" s="161"/>
    </row>
    <row r="59" spans="2:16" x14ac:dyDescent="0.55000000000000004">
      <c r="B59" s="38" t="s">
        <v>188</v>
      </c>
      <c r="C59" s="124">
        <f t="shared" si="0"/>
        <v>0.67629046622998712</v>
      </c>
      <c r="D59" s="125">
        <f t="shared" si="1"/>
        <v>3.2613496650617302</v>
      </c>
      <c r="E59" s="125">
        <f t="shared" si="2"/>
        <v>0.65910937339498343</v>
      </c>
      <c r="F59" s="125">
        <f t="shared" si="3"/>
        <v>2.5691558090323308</v>
      </c>
      <c r="G59" s="125">
        <f t="shared" si="4"/>
        <v>0.59459632185179945</v>
      </c>
      <c r="H59" s="125">
        <f t="shared" si="5"/>
        <v>9.654090569407126</v>
      </c>
      <c r="I59" s="125">
        <f t="shared" si="6"/>
        <v>1.0330016774828716</v>
      </c>
      <c r="J59" s="125">
        <f t="shared" si="7"/>
        <v>4.6913638874973556</v>
      </c>
      <c r="K59" s="161">
        <f t="shared" si="8"/>
        <v>2.3196583831654882</v>
      </c>
      <c r="L59" s="161"/>
      <c r="M59" s="161">
        <f t="shared" si="9"/>
        <v>54.812126203843626</v>
      </c>
      <c r="N59" s="161"/>
      <c r="O59" s="161">
        <f t="shared" si="10"/>
        <v>1.141138790823742</v>
      </c>
      <c r="P59" s="161"/>
    </row>
    <row r="60" spans="2:16" x14ac:dyDescent="0.55000000000000004">
      <c r="B60" s="38" t="s">
        <v>189</v>
      </c>
      <c r="C60" s="124">
        <f t="shared" si="0"/>
        <v>1.2275437281282315</v>
      </c>
      <c r="D60" s="125">
        <f t="shared" si="1"/>
        <v>3.7242946251975337</v>
      </c>
      <c r="E60" s="125">
        <f t="shared" si="2"/>
        <v>1.1963581003467727</v>
      </c>
      <c r="F60" s="125">
        <f t="shared" si="3"/>
        <v>1.7830103406533526</v>
      </c>
      <c r="G60" s="125">
        <f t="shared" si="4"/>
        <v>1.0792596112231398</v>
      </c>
      <c r="H60" s="125">
        <f t="shared" si="5"/>
        <v>25.100635480458525</v>
      </c>
      <c r="I60" s="125">
        <f t="shared" si="6"/>
        <v>1.8750149435180887</v>
      </c>
      <c r="J60" s="125">
        <f t="shared" si="7"/>
        <v>3.1275759249982364</v>
      </c>
      <c r="K60" s="161">
        <f t="shared" si="8"/>
        <v>3.9425383360003079</v>
      </c>
      <c r="L60" s="161"/>
      <c r="M60" s="161">
        <f t="shared" si="9"/>
        <v>124.87161324586256</v>
      </c>
      <c r="N60" s="161"/>
      <c r="O60" s="161">
        <f t="shared" si="10"/>
        <v>1.1026274210357221</v>
      </c>
      <c r="P60" s="161"/>
    </row>
    <row r="61" spans="2:16" x14ac:dyDescent="0.55000000000000004">
      <c r="B61" s="38" t="s">
        <v>179</v>
      </c>
      <c r="C61" s="124">
        <f t="shared" si="0"/>
        <v>330.27067721011997</v>
      </c>
      <c r="D61" s="125">
        <f t="shared" si="1"/>
        <v>10.438767395227879</v>
      </c>
      <c r="E61" s="125">
        <f t="shared" si="2"/>
        <v>321.88018311154292</v>
      </c>
      <c r="F61" s="125">
        <f t="shared" si="3"/>
        <v>9.0771483453723292</v>
      </c>
      <c r="G61" s="125">
        <f t="shared" si="4"/>
        <v>290.37483106830877</v>
      </c>
      <c r="H61" s="125">
        <f t="shared" si="5"/>
        <v>21.814102698185081</v>
      </c>
      <c r="I61" s="125">
        <f t="shared" si="6"/>
        <v>504.4728273094355</v>
      </c>
      <c r="J61" s="125">
        <f t="shared" si="7"/>
        <v>14.855192091238813</v>
      </c>
      <c r="K61" s="161">
        <f t="shared" si="8"/>
        <v>526.0767875635363</v>
      </c>
      <c r="L61" s="161">
        <f>D61</f>
        <v>10.438767395227879</v>
      </c>
      <c r="M61" s="161">
        <f t="shared" si="9"/>
        <v>467.4677862412687</v>
      </c>
      <c r="N61" s="161">
        <f>D61</f>
        <v>10.438767395227879</v>
      </c>
      <c r="O61" s="161">
        <f t="shared" si="10"/>
        <v>101.91175523978629</v>
      </c>
      <c r="P61" s="161">
        <f>D61</f>
        <v>10.438767395227879</v>
      </c>
    </row>
    <row r="62" spans="2:16" x14ac:dyDescent="0.55000000000000004">
      <c r="B62" s="38" t="s">
        <v>180</v>
      </c>
      <c r="C62" s="124">
        <f t="shared" si="0"/>
        <v>0.59742577305251188</v>
      </c>
      <c r="D62" s="125">
        <f t="shared" si="1"/>
        <v>3.4660748005071862</v>
      </c>
      <c r="E62" s="125">
        <f t="shared" si="2"/>
        <v>0.58224822999758963</v>
      </c>
      <c r="F62" s="125">
        <f t="shared" si="3"/>
        <v>1.8278216804674656</v>
      </c>
      <c r="G62" s="125">
        <f t="shared" si="4"/>
        <v>0.52525828024269205</v>
      </c>
      <c r="H62" s="125">
        <f t="shared" si="5"/>
        <v>21.368320058519977</v>
      </c>
      <c r="I62" s="125">
        <f t="shared" si="6"/>
        <v>0.91253959141998853</v>
      </c>
      <c r="J62" s="125">
        <f t="shared" si="7"/>
        <v>3.1459631262690819</v>
      </c>
      <c r="K62" s="161">
        <f t="shared" si="8"/>
        <v>115.0042978940543</v>
      </c>
      <c r="L62" s="161">
        <f>D62</f>
        <v>3.4660748005071862</v>
      </c>
      <c r="M62" s="161">
        <f t="shared" si="9"/>
        <v>135.34461346018514</v>
      </c>
      <c r="N62" s="161">
        <f>D62</f>
        <v>3.4660748005071862</v>
      </c>
      <c r="O62" s="161">
        <f t="shared" si="10"/>
        <v>69.118691450057526</v>
      </c>
      <c r="P62" s="161">
        <f>D62</f>
        <v>3.4660748005071862</v>
      </c>
    </row>
    <row r="63" spans="2:16" x14ac:dyDescent="0.55000000000000004">
      <c r="B63" s="38" t="s">
        <v>178</v>
      </c>
      <c r="C63" s="126">
        <f t="shared" si="0"/>
        <v>36442.150579538516</v>
      </c>
      <c r="D63" s="127">
        <f t="shared" si="1"/>
        <v>278606.2355704779</v>
      </c>
      <c r="E63" s="127">
        <f t="shared" si="2"/>
        <v>35516.341325262685</v>
      </c>
      <c r="F63" s="127">
        <f t="shared" si="3"/>
        <v>271592.5920782162</v>
      </c>
      <c r="G63" s="127">
        <f t="shared" si="4"/>
        <v>32040.032762482009</v>
      </c>
      <c r="H63" s="127">
        <f t="shared" si="5"/>
        <v>244843.57971867561</v>
      </c>
      <c r="I63" s="127">
        <f t="shared" si="6"/>
        <v>55663.660157150218</v>
      </c>
      <c r="J63" s="127">
        <f t="shared" si="7"/>
        <v>424775.10690951999</v>
      </c>
      <c r="K63" s="161">
        <f t="shared" si="8"/>
        <v>139880.02620550132</v>
      </c>
      <c r="L63" s="162"/>
      <c r="M63" s="161">
        <f t="shared" si="9"/>
        <v>48833.346269161193</v>
      </c>
      <c r="N63" s="162"/>
      <c r="O63" s="161">
        <f t="shared" si="10"/>
        <v>68787.142260499546</v>
      </c>
      <c r="P63" s="162"/>
    </row>
    <row r="64" spans="2:16" x14ac:dyDescent="0.55000000000000004">
      <c r="B64" s="38" t="s">
        <v>319</v>
      </c>
      <c r="C64" s="295">
        <f>C53*Fuel_Specs!$B$19/Fuel_Specs!$B$22+C54*Fuel_Specs!$B$20/Fuel_Specs!$B$22+C63</f>
        <v>36560.554347212783</v>
      </c>
      <c r="D64" s="296">
        <f>D53*Fuel_Specs!$B$19/Fuel_Specs!$B$22+D54*Fuel_Specs!$B$20/Fuel_Specs!$B$22+D63</f>
        <v>278721.20612772246</v>
      </c>
      <c r="E64" s="296">
        <f>E53*Fuel_Specs!$B$19/Fuel_Specs!$B$22+E54*Fuel_Specs!$B$20/Fuel_Specs!$B$22+E63</f>
        <v>35631.737056854814</v>
      </c>
      <c r="F64" s="296">
        <f>F53*Fuel_Specs!$B$19/Fuel_Specs!$B$22+F54*Fuel_Specs!$B$20/Fuel_Specs!$B$22+F63</f>
        <v>271643.33643996133</v>
      </c>
      <c r="G64" s="296">
        <f>G53*Fuel_Specs!$B$19/Fuel_Specs!$B$22+G54*Fuel_Specs!$B$20/Fuel_Specs!$B$22+G63</f>
        <v>32144.133660347648</v>
      </c>
      <c r="H64" s="296">
        <f>H53*Fuel_Specs!$B$19/Fuel_Specs!$B$22+H54*Fuel_Specs!$B$20/Fuel_Specs!$B$22+H63</f>
        <v>245017.6533060543</v>
      </c>
      <c r="I64" s="296">
        <f>I53*Fuel_Specs!$B$19/Fuel_Specs!$B$22+I54*Fuel_Specs!$B$20/Fuel_Specs!$B$22+I63</f>
        <v>55844.516308072525</v>
      </c>
      <c r="J64" s="296">
        <f>J53*Fuel_Specs!$B$19/Fuel_Specs!$B$22+J54*Fuel_Specs!$B$20/Fuel_Specs!$B$22+J63</f>
        <v>425736.44634308049</v>
      </c>
      <c r="K64" s="297">
        <f>K53*Fuel_Specs!$B$19/Fuel_Specs!$B$22+K54*Fuel_Specs!$B$20/Fuel_Specs!$B$22+K63</f>
        <v>140637.65717741847</v>
      </c>
      <c r="L64" s="297">
        <f>L53*Fuel_Specs!$B$19/Fuel_Specs!$B$22+L54*Fuel_Specs!$B$20/Fuel_Specs!$B$22+L63</f>
        <v>0</v>
      </c>
      <c r="M64" s="297">
        <f>M53*Fuel_Specs!$B$19/Fuel_Specs!$B$22+M54*Fuel_Specs!$B$20/Fuel_Specs!$B$22+M63</f>
        <v>61517.232437302526</v>
      </c>
      <c r="N64" s="297">
        <f>N53*Fuel_Specs!$B$19/Fuel_Specs!$B$22+N54*Fuel_Specs!$B$20/Fuel_Specs!$B$22+N63</f>
        <v>0</v>
      </c>
      <c r="O64" s="297">
        <f>O53*Fuel_Specs!$B$19/Fuel_Specs!$B$22+O54*Fuel_Specs!$B$20/Fuel_Specs!$B$22+O63</f>
        <v>69067.5554928848</v>
      </c>
      <c r="P64" s="297">
        <f>P53*Fuel_Specs!$B$19/Fuel_Specs!$B$22+P54*Fuel_Specs!$B$20/Fuel_Specs!$B$22+P63</f>
        <v>0</v>
      </c>
    </row>
    <row r="65" spans="2:19" x14ac:dyDescent="0.55000000000000004">
      <c r="B65" s="42" t="s">
        <v>320</v>
      </c>
      <c r="C65" s="298">
        <f>C64+C61*CH4_GWP_100yr+C62*N2O_GWP_100yr</f>
        <v>46565.717764117697</v>
      </c>
      <c r="D65" s="299">
        <f t="shared" ref="D65:P65" si="11">D64+D61*CH4_GWP_100yr+D62*N2O_GWP_100yr</f>
        <v>279978.51981663873</v>
      </c>
      <c r="E65" s="299">
        <f t="shared" si="11"/>
        <v>45382.720280368143</v>
      </c>
      <c r="F65" s="299">
        <f t="shared" si="11"/>
        <v>272412.83077942103</v>
      </c>
      <c r="G65" s="299">
        <f t="shared" si="11"/>
        <v>40940.699136689502</v>
      </c>
      <c r="H65" s="299">
        <f t="shared" si="11"/>
        <v>251501.26494243616</v>
      </c>
      <c r="I65" s="299">
        <f t="shared" si="11"/>
        <v>71126.929870351349</v>
      </c>
      <c r="J65" s="299">
        <f t="shared" si="11"/>
        <v>427037.97900087084</v>
      </c>
      <c r="K65" s="300">
        <f>K64+K61*CH4_GWP_100yr+K62*N2O_GWP_100yr</f>
        <v>187710.91877188865</v>
      </c>
      <c r="L65" s="300">
        <f t="shared" si="11"/>
        <v>1257.3136889162527</v>
      </c>
      <c r="M65" s="300">
        <f t="shared" si="11"/>
        <v>112396.85194192288</v>
      </c>
      <c r="N65" s="300">
        <f t="shared" si="11"/>
        <v>1257.3136889162527</v>
      </c>
      <c r="O65" s="300">
        <f t="shared" si="11"/>
        <v>90973.928564896138</v>
      </c>
      <c r="P65" s="300">
        <f t="shared" si="11"/>
        <v>1257.3136889162527</v>
      </c>
    </row>
    <row r="67" spans="2:19" x14ac:dyDescent="0.55000000000000004">
      <c r="B67" s="128" t="s">
        <v>321</v>
      </c>
      <c r="C67" s="129">
        <f>C65+D65</f>
        <v>326544.23758075642</v>
      </c>
      <c r="E67" s="129">
        <f>E65+F65</f>
        <v>317795.55105978914</v>
      </c>
      <c r="G67" s="129">
        <f>G65+H65</f>
        <v>292441.96407912567</v>
      </c>
      <c r="I67" s="129">
        <f>I65+J65</f>
        <v>498164.90887122217</v>
      </c>
      <c r="K67" s="129">
        <f>K65+L65</f>
        <v>188968.23246080489</v>
      </c>
      <c r="M67" s="129">
        <f>M65+N65</f>
        <v>113654.16563083914</v>
      </c>
      <c r="O67" s="129">
        <f>O65+P65</f>
        <v>92231.242253812394</v>
      </c>
    </row>
    <row r="68" spans="2:19" x14ac:dyDescent="0.55000000000000004">
      <c r="B68" s="128" t="s">
        <v>322</v>
      </c>
      <c r="C68" s="129">
        <f>C67/mmBTU2kWh</f>
        <v>1114.2151908742301</v>
      </c>
      <c r="E68" s="129">
        <f>E67/mmBTU2kWh</f>
        <v>1084.3634332867221</v>
      </c>
      <c r="G68" s="129">
        <f>G67/mmBTU2kWh</f>
        <v>997.85340338604101</v>
      </c>
      <c r="I68" s="129">
        <f>I67/mmBTU2kWh</f>
        <v>1699.8092299439882</v>
      </c>
      <c r="K68" s="129">
        <f>K67/mmBTU2kWh</f>
        <v>644.78637491929703</v>
      </c>
      <c r="M68" s="129">
        <f>M67/mmBTU2kWh</f>
        <v>387.80411129043159</v>
      </c>
      <c r="O68" s="129">
        <f>O67/mmBTU2kWh</f>
        <v>314.7060623508458</v>
      </c>
    </row>
    <row r="69" spans="2:19" x14ac:dyDescent="0.55000000000000004">
      <c r="B69" s="128" t="s">
        <v>323</v>
      </c>
      <c r="C69" s="129">
        <f>C67*g2lb</f>
        <v>719.90681320489682</v>
      </c>
      <c r="E69" s="129">
        <f>E67*g2lb</f>
        <v>700.61926098930883</v>
      </c>
      <c r="G69" s="129">
        <f>G67*g2lb</f>
        <v>644.72416958672761</v>
      </c>
      <c r="I69" s="129">
        <f>I67*g2lb</f>
        <v>1098.2656275087304</v>
      </c>
      <c r="K69" s="129">
        <f>K67*g2lb</f>
        <v>416.60364009386865</v>
      </c>
      <c r="M69" s="129">
        <f>M67*g2lb</f>
        <v>250.56454461709561</v>
      </c>
      <c r="O69" s="129">
        <f>O67*g2lb</f>
        <v>203.33508311396949</v>
      </c>
    </row>
    <row r="72" spans="2:19" ht="15" customHeight="1" x14ac:dyDescent="0.55000000000000004">
      <c r="B72" s="37"/>
      <c r="C72" s="561" t="s">
        <v>294</v>
      </c>
      <c r="D72" s="562"/>
      <c r="E72" s="561" t="s">
        <v>295</v>
      </c>
      <c r="F72" s="562"/>
      <c r="G72" s="561" t="s">
        <v>296</v>
      </c>
      <c r="H72" s="562"/>
      <c r="I72" s="561" t="s">
        <v>297</v>
      </c>
      <c r="J72" s="562"/>
      <c r="K72" s="561" t="s">
        <v>298</v>
      </c>
      <c r="L72" s="562"/>
      <c r="M72" s="559" t="s">
        <v>324</v>
      </c>
      <c r="N72" s="560"/>
      <c r="O72" s="559" t="s">
        <v>325</v>
      </c>
      <c r="P72" s="560"/>
      <c r="R72" s="561" t="s">
        <v>326</v>
      </c>
      <c r="S72" s="562"/>
    </row>
    <row r="73" spans="2:19" x14ac:dyDescent="0.55000000000000004">
      <c r="B73" s="38"/>
      <c r="C73" s="561" t="s">
        <v>96</v>
      </c>
      <c r="D73" s="562"/>
      <c r="E73" s="561" t="s">
        <v>96</v>
      </c>
      <c r="F73" s="562"/>
      <c r="G73" s="561" t="s">
        <v>96</v>
      </c>
      <c r="H73" s="562"/>
      <c r="I73" s="561" t="s">
        <v>96</v>
      </c>
      <c r="J73" s="562"/>
      <c r="K73" s="561" t="s">
        <v>96</v>
      </c>
      <c r="L73" s="562"/>
      <c r="M73" s="561" t="s">
        <v>96</v>
      </c>
      <c r="N73" s="562"/>
      <c r="O73" s="561" t="s">
        <v>96</v>
      </c>
      <c r="P73" s="562"/>
      <c r="R73" s="561" t="s">
        <v>96</v>
      </c>
      <c r="S73" s="562"/>
    </row>
    <row r="74" spans="2:19" x14ac:dyDescent="0.55000000000000004">
      <c r="B74" s="42"/>
      <c r="C74" s="11" t="s">
        <v>95</v>
      </c>
      <c r="D74" s="12" t="s">
        <v>39</v>
      </c>
      <c r="E74" s="11" t="s">
        <v>95</v>
      </c>
      <c r="F74" s="12" t="s">
        <v>39</v>
      </c>
      <c r="G74" s="11" t="s">
        <v>95</v>
      </c>
      <c r="H74" s="12" t="s">
        <v>39</v>
      </c>
      <c r="I74" s="11" t="s">
        <v>95</v>
      </c>
      <c r="J74" s="12" t="s">
        <v>39</v>
      </c>
      <c r="K74" s="11" t="s">
        <v>95</v>
      </c>
      <c r="L74" s="12" t="s">
        <v>39</v>
      </c>
      <c r="M74" s="11" t="s">
        <v>95</v>
      </c>
      <c r="N74" s="12" t="s">
        <v>39</v>
      </c>
      <c r="O74" s="11" t="s">
        <v>95</v>
      </c>
      <c r="P74" s="12" t="s">
        <v>39</v>
      </c>
      <c r="R74" s="11" t="s">
        <v>95</v>
      </c>
      <c r="S74" s="12" t="s">
        <v>39</v>
      </c>
    </row>
    <row r="75" spans="2:19" x14ac:dyDescent="0.55000000000000004">
      <c r="B75" s="38" t="s">
        <v>185</v>
      </c>
      <c r="C75" s="124">
        <f t="shared" ref="C75:C86" si="12">$C$30*$C131/10^6</f>
        <v>21.425581449080237</v>
      </c>
      <c r="D75" s="125">
        <f t="shared" ref="D75:D85" si="13">(F36*$G$12+G36*$G$13+H36*$G$14+I36*$G$15)/(1-$E$19)/kWh2mmBTU</f>
        <v>1.5559436931391779</v>
      </c>
      <c r="E75" s="125">
        <f t="shared" ref="E75:E85" si="14">$D$30*$C131/10^6</f>
        <v>29.223228554641171</v>
      </c>
      <c r="F75" s="125">
        <f t="shared" ref="F75:F85" si="15">F36/(1-$E$19)/kWh2mmBTU</f>
        <v>7.7609809631153075</v>
      </c>
      <c r="G75" s="125">
        <f t="shared" ref="G75:G85" si="16">$E$30*$C131/10^6</f>
        <v>29.539245600162896</v>
      </c>
      <c r="H75" s="125">
        <f>G36/(1-$E$19)/kWh2mmBTU</f>
        <v>5.3073862260238123</v>
      </c>
      <c r="I75" s="125">
        <f t="shared" ref="I75:I85" si="17">$F$30*$C131/10^6</f>
        <v>21.016757686547319</v>
      </c>
      <c r="J75" s="125">
        <f t="shared" ref="J75:J85" si="18">H36/(1-$E$19)/kWh2mmBTU</f>
        <v>1.366919496098034</v>
      </c>
      <c r="K75" s="125">
        <f t="shared" ref="K75:K85" si="19">$G$30*$C131/10^6</f>
        <v>24.110738985830544</v>
      </c>
      <c r="L75" s="125">
        <f t="shared" ref="L75:L85" si="20">I36/(1-$E$19)/kWh2mmBTU</f>
        <v>28.924808908287169</v>
      </c>
      <c r="M75" s="161">
        <f t="shared" ref="M75:M85" si="21">$F$30*$C267/10^6</f>
        <v>31.021513658101412</v>
      </c>
      <c r="N75" s="161">
        <v>0</v>
      </c>
      <c r="O75" s="161">
        <f t="shared" ref="O75:O85" si="22">$F$30*($E267*$F$266+$F267)/10^6</f>
        <v>38.778300393805154</v>
      </c>
      <c r="P75" s="161">
        <v>0</v>
      </c>
      <c r="R75" s="125">
        <f t="shared" ref="R75:R85" si="23">$F$30*$C156/10^6</f>
        <v>22.70410552769933</v>
      </c>
      <c r="S75" s="125">
        <f t="shared" ref="S75:S85" si="24">H36/(1-$E$19)/kWh2mmBTU</f>
        <v>1.366919496098034</v>
      </c>
    </row>
    <row r="76" spans="2:19" x14ac:dyDescent="0.55000000000000004">
      <c r="B76" s="38" t="s">
        <v>186</v>
      </c>
      <c r="C76" s="124">
        <f t="shared" si="12"/>
        <v>59.62774914226717</v>
      </c>
      <c r="D76" s="125">
        <f t="shared" si="13"/>
        <v>12.138355646004531</v>
      </c>
      <c r="E76" s="125">
        <f t="shared" si="14"/>
        <v>81.328730588923435</v>
      </c>
      <c r="F76" s="125">
        <f t="shared" si="15"/>
        <v>104.9980192063007</v>
      </c>
      <c r="G76" s="125">
        <f t="shared" si="16"/>
        <v>82.208211276989388</v>
      </c>
      <c r="H76" s="125">
        <f t="shared" ref="H76:H85" si="25">G37/(1-$E$19)/kWh2mmBTU</f>
        <v>46.764774400698201</v>
      </c>
      <c r="I76" s="125">
        <f t="shared" si="17"/>
        <v>58.489985818847209</v>
      </c>
      <c r="J76" s="125">
        <f t="shared" si="18"/>
        <v>10.393631864647952</v>
      </c>
      <c r="K76" s="125">
        <f t="shared" si="19"/>
        <v>67.100587178860508</v>
      </c>
      <c r="L76" s="125">
        <f t="shared" si="20"/>
        <v>56.558571785197046</v>
      </c>
      <c r="M76" s="161">
        <f t="shared" si="21"/>
        <v>80.794644406346578</v>
      </c>
      <c r="N76" s="161">
        <v>0</v>
      </c>
      <c r="O76" s="161">
        <f t="shared" si="22"/>
        <v>123.68611237030859</v>
      </c>
      <c r="P76" s="161">
        <v>0</v>
      </c>
      <c r="R76" s="125">
        <f t="shared" si="23"/>
        <v>60.778551699812887</v>
      </c>
      <c r="S76" s="125">
        <f t="shared" si="24"/>
        <v>10.393631864647952</v>
      </c>
    </row>
    <row r="77" spans="2:19" x14ac:dyDescent="0.55000000000000004">
      <c r="B77" s="38" t="s">
        <v>187</v>
      </c>
      <c r="C77" s="124">
        <f t="shared" si="12"/>
        <v>71.638708717486779</v>
      </c>
      <c r="D77" s="125">
        <f t="shared" si="13"/>
        <v>18.638815650522666</v>
      </c>
      <c r="E77" s="125">
        <f t="shared" si="14"/>
        <v>97.710970560397669</v>
      </c>
      <c r="F77" s="125">
        <f t="shared" si="15"/>
        <v>202.52399850799318</v>
      </c>
      <c r="G77" s="125">
        <f t="shared" si="16"/>
        <v>98.76760713885858</v>
      </c>
      <c r="H77" s="125">
        <f t="shared" si="25"/>
        <v>81.840956748301991</v>
      </c>
      <c r="I77" s="125">
        <f t="shared" si="17"/>
        <v>70.271763017063805</v>
      </c>
      <c r="J77" s="125">
        <f t="shared" si="18"/>
        <v>15.454244950701094</v>
      </c>
      <c r="K77" s="125">
        <f t="shared" si="19"/>
        <v>80.616818324126086</v>
      </c>
      <c r="L77" s="125">
        <f t="shared" si="20"/>
        <v>51.653736645993668</v>
      </c>
      <c r="M77" s="161">
        <f t="shared" si="21"/>
        <v>97.110688375331677</v>
      </c>
      <c r="N77" s="161">
        <v>0</v>
      </c>
      <c r="O77" s="161">
        <f t="shared" si="22"/>
        <v>153.22500757453375</v>
      </c>
      <c r="P77" s="161">
        <v>0</v>
      </c>
      <c r="R77" s="125">
        <f t="shared" si="23"/>
        <v>125.95445205927389</v>
      </c>
      <c r="S77" s="125">
        <f t="shared" si="24"/>
        <v>15.454244950701094</v>
      </c>
    </row>
    <row r="78" spans="2:19" x14ac:dyDescent="0.55000000000000004">
      <c r="B78" s="38" t="s">
        <v>312</v>
      </c>
      <c r="C78" s="124">
        <f t="shared" si="12"/>
        <v>0.96538875224986465</v>
      </c>
      <c r="D78" s="125">
        <f t="shared" si="13"/>
        <v>5.647753112946055</v>
      </c>
      <c r="E78" s="125">
        <f t="shared" si="14"/>
        <v>1.3167332806404999</v>
      </c>
      <c r="F78" s="125">
        <f t="shared" si="15"/>
        <v>11.047018072092655</v>
      </c>
      <c r="G78" s="125">
        <f t="shared" si="16"/>
        <v>1.3309723015039923</v>
      </c>
      <c r="H78" s="125">
        <f t="shared" si="25"/>
        <v>12.692601964319115</v>
      </c>
      <c r="I78" s="125">
        <f t="shared" si="17"/>
        <v>0.9469680684079943</v>
      </c>
      <c r="J78" s="125">
        <f t="shared" si="18"/>
        <v>5.2927838216043952</v>
      </c>
      <c r="K78" s="125">
        <f t="shared" si="19"/>
        <v>1.0863759417998118</v>
      </c>
      <c r="L78" s="125">
        <f t="shared" si="20"/>
        <v>16.863593968249383</v>
      </c>
      <c r="M78" s="161">
        <f t="shared" si="21"/>
        <v>4.8096090809845347</v>
      </c>
      <c r="N78" s="161">
        <v>0</v>
      </c>
      <c r="O78" s="161">
        <f t="shared" si="22"/>
        <v>4.599354037371393</v>
      </c>
      <c r="P78" s="161">
        <v>0</v>
      </c>
      <c r="R78" s="125">
        <f t="shared" si="23"/>
        <v>4.73285923915694</v>
      </c>
      <c r="S78" s="125">
        <f t="shared" si="24"/>
        <v>5.2927838216043952</v>
      </c>
    </row>
    <row r="79" spans="2:19" x14ac:dyDescent="0.55000000000000004">
      <c r="B79" s="38" t="s">
        <v>313</v>
      </c>
      <c r="C79" s="124">
        <f t="shared" si="12"/>
        <v>0.90797092822434244</v>
      </c>
      <c r="D79" s="125">
        <f t="shared" si="13"/>
        <v>5.4695100798373009</v>
      </c>
      <c r="E79" s="125">
        <f t="shared" si="14"/>
        <v>1.2384187574806147</v>
      </c>
      <c r="F79" s="125">
        <f t="shared" si="15"/>
        <v>10.991373967284796</v>
      </c>
      <c r="G79" s="125">
        <f t="shared" si="16"/>
        <v>1.2518108929911025</v>
      </c>
      <c r="H79" s="125">
        <f t="shared" si="25"/>
        <v>12.565663661834515</v>
      </c>
      <c r="I79" s="125">
        <f t="shared" si="17"/>
        <v>0.89064583989339707</v>
      </c>
      <c r="J79" s="125">
        <f>H40/(1-$E$19)/kWh2mmBTU</f>
        <v>5.1119556934487003</v>
      </c>
      <c r="K79" s="125">
        <f t="shared" si="19"/>
        <v>1.0217622382462428</v>
      </c>
      <c r="L79" s="125">
        <f t="shared" si="20"/>
        <v>16.859211516729353</v>
      </c>
      <c r="M79" s="161">
        <f t="shared" si="21"/>
        <v>4.5460637590915223</v>
      </c>
      <c r="N79" s="161">
        <v>0</v>
      </c>
      <c r="O79" s="161">
        <f t="shared" si="22"/>
        <v>3.0868222042355429</v>
      </c>
      <c r="P79" s="161">
        <v>0</v>
      </c>
      <c r="R79" s="125">
        <f t="shared" si="23"/>
        <v>4.393400999772167</v>
      </c>
      <c r="S79" s="125">
        <f t="shared" si="24"/>
        <v>5.1119556934487003</v>
      </c>
    </row>
    <row r="80" spans="2:19" x14ac:dyDescent="0.55000000000000004">
      <c r="B80" s="38" t="s">
        <v>314</v>
      </c>
      <c r="C80" s="124">
        <f t="shared" si="12"/>
        <v>26.628090748269322</v>
      </c>
      <c r="D80" s="125">
        <f t="shared" si="13"/>
        <v>2.1955086238447818</v>
      </c>
      <c r="E80" s="125">
        <f t="shared" si="14"/>
        <v>36.319144185643822</v>
      </c>
      <c r="F80" s="125">
        <f t="shared" si="15"/>
        <v>3.192779371781417</v>
      </c>
      <c r="G80" s="125">
        <f t="shared" si="16"/>
        <v>36.71189574695623</v>
      </c>
      <c r="H80" s="125">
        <f t="shared" si="25"/>
        <v>1.4405726995903763</v>
      </c>
      <c r="I80" s="125">
        <f t="shared" si="17"/>
        <v>26.119997361182147</v>
      </c>
      <c r="J80" s="125">
        <f t="shared" si="18"/>
        <v>2.2335476330122699</v>
      </c>
      <c r="K80" s="125">
        <f t="shared" si="19"/>
        <v>29.965251923190717</v>
      </c>
      <c r="L80" s="125">
        <f t="shared" si="20"/>
        <v>3.4699030753018323</v>
      </c>
      <c r="M80" s="161">
        <f t="shared" si="21"/>
        <v>29.682322604104925</v>
      </c>
      <c r="N80" s="161">
        <v>0</v>
      </c>
      <c r="O80" s="161">
        <f t="shared" si="22"/>
        <v>54.642184847588396</v>
      </c>
      <c r="P80" s="161">
        <v>0</v>
      </c>
      <c r="R80" s="125">
        <f t="shared" si="23"/>
        <v>51.432165545402782</v>
      </c>
      <c r="S80" s="125">
        <f t="shared" si="24"/>
        <v>2.2335476330122699</v>
      </c>
    </row>
    <row r="81" spans="1:19" x14ac:dyDescent="0.55000000000000004">
      <c r="B81" s="38" t="s">
        <v>188</v>
      </c>
      <c r="C81" s="124">
        <f t="shared" si="12"/>
        <v>0.17401707313354117</v>
      </c>
      <c r="D81" s="125">
        <f t="shared" si="13"/>
        <v>0.15861579231528172</v>
      </c>
      <c r="E81" s="125">
        <f t="shared" si="14"/>
        <v>0.23734901723329829</v>
      </c>
      <c r="F81" s="125">
        <f t="shared" si="15"/>
        <v>1.8135767046019913</v>
      </c>
      <c r="G81" s="125">
        <f t="shared" si="16"/>
        <v>0.23991568556165591</v>
      </c>
      <c r="H81" s="125">
        <f t="shared" si="25"/>
        <v>0.36440424619320089</v>
      </c>
      <c r="I81" s="125">
        <f t="shared" si="17"/>
        <v>0.17069663514437872</v>
      </c>
      <c r="J81" s="125">
        <f t="shared" si="18"/>
        <v>0.14824671511001231</v>
      </c>
      <c r="K81" s="125">
        <f t="shared" si="19"/>
        <v>0.19582573473547948</v>
      </c>
      <c r="L81" s="125">
        <f t="shared" si="20"/>
        <v>3.3718423033458702</v>
      </c>
      <c r="M81" s="161">
        <f t="shared" si="21"/>
        <v>0.41004852551319443</v>
      </c>
      <c r="N81" s="161">
        <v>0</v>
      </c>
      <c r="O81" s="161">
        <f t="shared" si="22"/>
        <v>0.34395504084685735</v>
      </c>
      <c r="P81" s="161">
        <v>0</v>
      </c>
      <c r="R81" s="125">
        <f t="shared" si="23"/>
        <v>0.58948399928056616</v>
      </c>
      <c r="S81" s="125">
        <f t="shared" si="24"/>
        <v>0.14824671511001231</v>
      </c>
    </row>
    <row r="82" spans="1:19" x14ac:dyDescent="0.55000000000000004">
      <c r="B82" s="38" t="s">
        <v>189</v>
      </c>
      <c r="C82" s="124">
        <f t="shared" si="12"/>
        <v>0.35465018565023326</v>
      </c>
      <c r="D82" s="125">
        <f t="shared" si="13"/>
        <v>3.7192668542893648</v>
      </c>
      <c r="E82" s="125">
        <f t="shared" si="14"/>
        <v>0.48372192170530803</v>
      </c>
      <c r="F82" s="125">
        <f t="shared" si="15"/>
        <v>4.704308057997892</v>
      </c>
      <c r="G82" s="125">
        <f t="shared" si="16"/>
        <v>0.48895284176828391</v>
      </c>
      <c r="H82" s="125">
        <f t="shared" si="25"/>
        <v>8.5446512900474687</v>
      </c>
      <c r="I82" s="125">
        <f t="shared" si="17"/>
        <v>0.3478830683318489</v>
      </c>
      <c r="J82" s="125">
        <f t="shared" si="18"/>
        <v>3.4761298715451168</v>
      </c>
      <c r="K82" s="125">
        <f t="shared" si="19"/>
        <v>0.39909666292189211</v>
      </c>
      <c r="L82" s="125">
        <f t="shared" si="20"/>
        <v>7.2157425291601633</v>
      </c>
      <c r="M82" s="161">
        <f t="shared" si="21"/>
        <v>0.98739452773762215</v>
      </c>
      <c r="N82" s="161">
        <v>0</v>
      </c>
      <c r="O82" s="161">
        <f t="shared" si="22"/>
        <v>1.0345997896440484</v>
      </c>
      <c r="P82" s="161">
        <v>0</v>
      </c>
      <c r="R82" s="125">
        <f t="shared" si="23"/>
        <v>1.8593179916421563</v>
      </c>
      <c r="S82" s="125">
        <f>H43/(1-$E$19)/kWh2mmBTU</f>
        <v>3.4761298715451168</v>
      </c>
    </row>
    <row r="83" spans="1:19" x14ac:dyDescent="0.55000000000000004">
      <c r="B83" s="38" t="s">
        <v>179</v>
      </c>
      <c r="C83" s="124">
        <f t="shared" si="12"/>
        <v>396.6973409935224</v>
      </c>
      <c r="D83" s="125">
        <f t="shared" si="13"/>
        <v>3.1126101064614704</v>
      </c>
      <c r="E83" s="125">
        <f t="shared" si="14"/>
        <v>541.07175996242506</v>
      </c>
      <c r="F83" s="125">
        <f t="shared" si="15"/>
        <v>3.0980028482499415</v>
      </c>
      <c r="G83" s="125">
        <f t="shared" si="16"/>
        <v>546.92285539080513</v>
      </c>
      <c r="H83" s="125">
        <f t="shared" si="25"/>
        <v>9.2755608861106502</v>
      </c>
      <c r="I83" s="125">
        <f t="shared" si="17"/>
        <v>389.12791750239296</v>
      </c>
      <c r="J83" s="125">
        <f t="shared" si="18"/>
        <v>2.8020770748834805</v>
      </c>
      <c r="K83" s="125">
        <f t="shared" si="19"/>
        <v>446.41337122164447</v>
      </c>
      <c r="L83" s="125">
        <f t="shared" si="20"/>
        <v>2.5729510262617965</v>
      </c>
      <c r="M83" s="161">
        <f t="shared" si="21"/>
        <v>536.16837519848843</v>
      </c>
      <c r="N83" s="161">
        <v>0</v>
      </c>
      <c r="O83" s="161">
        <f t="shared" si="22"/>
        <v>730.08935668966058</v>
      </c>
      <c r="P83" s="161">
        <v>0</v>
      </c>
      <c r="R83" s="125">
        <f t="shared" si="23"/>
        <v>607.03097938673113</v>
      </c>
      <c r="S83" s="125">
        <f t="shared" si="24"/>
        <v>2.8020770748834805</v>
      </c>
    </row>
    <row r="84" spans="1:19" x14ac:dyDescent="0.55000000000000004">
      <c r="B84" s="38" t="s">
        <v>180</v>
      </c>
      <c r="C84" s="124">
        <f t="shared" si="12"/>
        <v>1.8232994011811579</v>
      </c>
      <c r="D84" s="125">
        <f t="shared" si="13"/>
        <v>0.36034703197229201</v>
      </c>
      <c r="E84" s="125">
        <f t="shared" si="14"/>
        <v>2.4868727717326293</v>
      </c>
      <c r="F84" s="125">
        <f t="shared" si="15"/>
        <v>0.30980028482499417</v>
      </c>
      <c r="G84" s="125">
        <f t="shared" si="16"/>
        <v>2.5137655630079645</v>
      </c>
      <c r="H84" s="125">
        <f t="shared" si="25"/>
        <v>2.5079823295093715</v>
      </c>
      <c r="I84" s="125">
        <f t="shared" si="17"/>
        <v>1.788508834438014</v>
      </c>
      <c r="J84" s="125">
        <f t="shared" si="18"/>
        <v>0.25213398216661903</v>
      </c>
      <c r="K84" s="125">
        <f t="shared" si="19"/>
        <v>2.0518041043309565</v>
      </c>
      <c r="L84" s="125">
        <f t="shared" si="20"/>
        <v>0.63172346911891264</v>
      </c>
      <c r="M84" s="161">
        <f t="shared" si="21"/>
        <v>3.8844880403095834</v>
      </c>
      <c r="N84" s="161">
        <v>0</v>
      </c>
      <c r="O84" s="161">
        <f t="shared" si="22"/>
        <v>5.0826200219007545</v>
      </c>
      <c r="P84" s="161">
        <v>0</v>
      </c>
      <c r="R84" s="125">
        <f t="shared" si="23"/>
        <v>0.66437500684806183</v>
      </c>
      <c r="S84" s="125">
        <f t="shared" si="24"/>
        <v>0.25213398216661903</v>
      </c>
    </row>
    <row r="85" spans="1:19" x14ac:dyDescent="0.55000000000000004">
      <c r="B85" s="38" t="s">
        <v>178</v>
      </c>
      <c r="C85" s="126">
        <f t="shared" si="12"/>
        <v>13685.219415914626</v>
      </c>
      <c r="D85" s="125">
        <f t="shared" si="13"/>
        <v>124990.95765268529</v>
      </c>
      <c r="E85" s="125">
        <f t="shared" si="14"/>
        <v>18665.831579047026</v>
      </c>
      <c r="F85" s="125">
        <f t="shared" si="15"/>
        <v>185360.21062895303</v>
      </c>
      <c r="G85" s="125">
        <f t="shared" si="16"/>
        <v>18867.681998715318</v>
      </c>
      <c r="H85" s="125">
        <f t="shared" si="25"/>
        <v>190782.0287198133</v>
      </c>
      <c r="I85" s="125">
        <f t="shared" si="17"/>
        <v>13424.090311624068</v>
      </c>
      <c r="J85" s="125">
        <f t="shared" si="18"/>
        <v>121675.93835759348</v>
      </c>
      <c r="K85" s="125">
        <f t="shared" si="19"/>
        <v>15400.317330249283</v>
      </c>
      <c r="L85" s="125">
        <f t="shared" si="20"/>
        <v>152909.18131106318</v>
      </c>
      <c r="M85" s="161">
        <f t="shared" si="21"/>
        <v>168632.49521236212</v>
      </c>
      <c r="N85" s="161">
        <v>0</v>
      </c>
      <c r="O85" s="161">
        <f t="shared" si="22"/>
        <v>61353.525145263295</v>
      </c>
      <c r="P85" s="161">
        <v>0</v>
      </c>
      <c r="R85" s="125">
        <f t="shared" si="23"/>
        <v>30473.894017115472</v>
      </c>
      <c r="S85" s="125">
        <f t="shared" si="24"/>
        <v>121675.93835759348</v>
      </c>
    </row>
    <row r="86" spans="1:19" x14ac:dyDescent="0.55000000000000004">
      <c r="B86" s="38" t="s">
        <v>319</v>
      </c>
      <c r="C86" s="126">
        <f t="shared" si="12"/>
        <v>13845.696560083061</v>
      </c>
      <c r="D86" s="138">
        <f>D75*Fuel_Specs!$B$19/Fuel_Specs!$B$22+D76*Fuel_Specs!$B$20/Fuel_Specs!$B$22+D85</f>
        <v>125014.8815694012</v>
      </c>
      <c r="E86" s="138">
        <f>E75*Fuel_Specs!$B$19/Fuel_Specs!$B$22+E76*Fuel_Specs!$B$20/Fuel_Specs!$B$22+E85</f>
        <v>18884.71293230111</v>
      </c>
      <c r="F86" s="138">
        <f>F75*Fuel_Specs!$B$19/Fuel_Specs!$B$22+F76*Fuel_Specs!$B$20/Fuel_Specs!$B$22+F85</f>
        <v>185549.3959069456</v>
      </c>
      <c r="G86" s="138">
        <f>G75*Fuel_Specs!$B$19/Fuel_Specs!$B$22+G76*Fuel_Specs!$B$20/Fuel_Specs!$B$22+G85</f>
        <v>19088.930312842524</v>
      </c>
      <c r="H86" s="138">
        <f>H75*Fuel_Specs!$B$19/Fuel_Specs!$B$22+H76*Fuel_Specs!$B$20/Fuel_Specs!$B$22+H85</f>
        <v>190872.05757618076</v>
      </c>
      <c r="I86" s="138">
        <f>I75*Fuel_Specs!$B$19/Fuel_Specs!$B$22+I76*Fuel_Specs!$B$20/Fuel_Specs!$B$22+I85</f>
        <v>13581.505374605329</v>
      </c>
      <c r="J86" s="138">
        <f>J75*Fuel_Specs!$B$19/Fuel_Specs!$B$22+J76*Fuel_Specs!$B$20/Fuel_Specs!$B$22+J85</f>
        <v>121696.53144009601</v>
      </c>
      <c r="K86" s="138">
        <f>K75*Fuel_Specs!$B$19/Fuel_Specs!$B$22+K76*Fuel_Specs!$B$20/Fuel_Specs!$B$22+K85</f>
        <v>15580.906246607618</v>
      </c>
      <c r="L86" s="138">
        <f>L75*Fuel_Specs!$B$19/Fuel_Specs!$B$22+L76*Fuel_Specs!$B$20/Fuel_Specs!$B$22+L85</f>
        <v>153088.20805448981</v>
      </c>
      <c r="M86" s="163">
        <f>M75*Fuel_Specs!$B$19/Fuel_Specs!$B$22+M76*Fuel_Specs!$B$20/Fuel_Specs!$B$22+M85</f>
        <v>168856.14194256841</v>
      </c>
      <c r="N86" s="163">
        <f>N75*Fuel_Specs!$B$19/Fuel_Specs!$B$22+N76*Fuel_Specs!$B$20/Fuel_Specs!$B$22+N85</f>
        <v>0</v>
      </c>
      <c r="O86" s="163">
        <f>O75*Fuel_Specs!$B$19/Fuel_Specs!$B$22+O76*Fuel_Specs!$B$20/Fuel_Specs!$B$22+O85</f>
        <v>61668.748072358285</v>
      </c>
      <c r="P86" s="163">
        <f>P75*Fuel_Specs!$B$19/Fuel_Specs!$B$22+P76*Fuel_Specs!$B$20/Fuel_Specs!$B$22+P85</f>
        <v>0</v>
      </c>
      <c r="R86" s="138">
        <f>R75*Fuel_Specs!$B$19/Fuel_Specs!$B$22+R76*Fuel_Specs!$B$20/Fuel_Specs!$B$22+R85</f>
        <v>30640.164298681269</v>
      </c>
      <c r="S86" s="138">
        <f>S75*Fuel_Specs!$B$19/Fuel_Specs!$B$22+S76*Fuel_Specs!$B$20/Fuel_Specs!$B$22+S85</f>
        <v>121696.53144009601</v>
      </c>
    </row>
    <row r="87" spans="1:19" x14ac:dyDescent="0.55000000000000004">
      <c r="B87" s="42" t="s">
        <v>320</v>
      </c>
      <c r="C87" s="126">
        <f>$C$30*$C143/10^6</f>
        <v>26165.038058212485</v>
      </c>
      <c r="D87" s="139">
        <f t="shared" ref="D87:P87" si="26">D86+D83*CH4_GWP_100yr+D84*N2O_GWP_100yr</f>
        <v>125206.01209030219</v>
      </c>
      <c r="E87" s="139">
        <f t="shared" si="26"/>
        <v>35687.567645864387</v>
      </c>
      <c r="F87" s="139">
        <f t="shared" si="26"/>
        <v>185726.29186958069</v>
      </c>
      <c r="G87" s="139">
        <f t="shared" si="26"/>
        <v>36073.489402189698</v>
      </c>
      <c r="H87" s="139">
        <f t="shared" si="26"/>
        <v>191833.14846654292</v>
      </c>
      <c r="I87" s="139">
        <f t="shared" si="26"/>
        <v>25665.780227978219</v>
      </c>
      <c r="J87" s="139">
        <f t="shared" si="26"/>
        <v>121848.86591405902</v>
      </c>
      <c r="K87" s="139">
        <f t="shared" si="26"/>
        <v>29444.167229494971</v>
      </c>
      <c r="L87" s="139">
        <f t="shared" si="26"/>
        <v>153337.34250214187</v>
      </c>
      <c r="M87" s="164">
        <f t="shared" si="26"/>
        <v>185894.4247584879</v>
      </c>
      <c r="N87" s="164">
        <f t="shared" si="26"/>
        <v>0</v>
      </c>
      <c r="O87" s="164">
        <f t="shared" si="26"/>
        <v>84812.966167689083</v>
      </c>
      <c r="P87" s="164">
        <f t="shared" si="26"/>
        <v>0</v>
      </c>
      <c r="R87" s="139">
        <f>R86+R83*CH4_GWP_100yr+R84*N2O_GWP_100yr</f>
        <v>48911.061861275382</v>
      </c>
      <c r="S87" s="139">
        <f>S86+S83*CH4_GWP_100yr+S84*N2O_GWP_100yr</f>
        <v>121848.86591405902</v>
      </c>
    </row>
    <row r="89" spans="1:19" x14ac:dyDescent="0.55000000000000004">
      <c r="B89" s="128" t="s">
        <v>321</v>
      </c>
      <c r="C89" s="129">
        <f>C87+D87</f>
        <v>151371.05014851468</v>
      </c>
      <c r="E89" s="129">
        <f>E87+F87</f>
        <v>221413.85951544507</v>
      </c>
      <c r="G89" s="129">
        <f>G87+H87</f>
        <v>227906.63786873262</v>
      </c>
      <c r="I89" s="129">
        <f>I87+J87</f>
        <v>147514.64614203724</v>
      </c>
      <c r="K89" s="129">
        <f>K87+L87</f>
        <v>182781.50973163685</v>
      </c>
      <c r="M89" s="129">
        <f>M87+N87</f>
        <v>185894.4247584879</v>
      </c>
      <c r="O89" s="129">
        <f>O87+P87</f>
        <v>84812.966167689083</v>
      </c>
      <c r="R89" s="129">
        <f>R87+S87</f>
        <v>170759.92777533439</v>
      </c>
    </row>
    <row r="90" spans="1:19" x14ac:dyDescent="0.55000000000000004">
      <c r="B90" s="128" t="s">
        <v>322</v>
      </c>
      <c r="C90" s="129">
        <f>C89/mmBTU2kWh</f>
        <v>516.49946354465771</v>
      </c>
      <c r="E90" s="129">
        <f>E89/mmBTU2kWh</f>
        <v>755.49545008029884</v>
      </c>
      <c r="G90" s="129">
        <f>G89/mmBTU2kWh</f>
        <v>777.64972946923842</v>
      </c>
      <c r="I90" s="129">
        <f>I89/mmBTU2kWh</f>
        <v>503.34086684731813</v>
      </c>
      <c r="K90" s="129">
        <f>K89/mmBTU2kWh</f>
        <v>623.67640067006187</v>
      </c>
      <c r="M90" s="129">
        <f>M89/mmBTU2kWh</f>
        <v>634.2981076599466</v>
      </c>
      <c r="O90" s="129">
        <f>O89/mmBTU2kWh</f>
        <v>289.39385360848974</v>
      </c>
      <c r="R90" s="129">
        <f>R89/mmBTU2kWh</f>
        <v>582.65706027904002</v>
      </c>
    </row>
    <row r="91" spans="1:19" x14ac:dyDescent="0.55000000000000004">
      <c r="B91" s="128" t="s">
        <v>323</v>
      </c>
      <c r="C91" s="129">
        <f>C89*g2lb</f>
        <v>333.71604145042096</v>
      </c>
      <c r="E91" s="129">
        <f>E89*g2lb</f>
        <v>488.13400347859704</v>
      </c>
      <c r="G91" s="129">
        <f>G89*g2lb</f>
        <v>502.44812951490479</v>
      </c>
      <c r="I91" s="129">
        <f>I89*g2lb</f>
        <v>325.21412593875255</v>
      </c>
      <c r="K91" s="129">
        <f>K89*g2lb</f>
        <v>402.96425121003875</v>
      </c>
      <c r="M91" s="129">
        <f>M89*g2lb</f>
        <v>409.82705409812758</v>
      </c>
      <c r="O91" s="129">
        <f>O89*g2lb</f>
        <v>186.98058383938223</v>
      </c>
      <c r="R91" s="129">
        <f>R89*g2lb</f>
        <v>376.4611996787653</v>
      </c>
    </row>
    <row r="96" spans="1:19" x14ac:dyDescent="0.55000000000000004">
      <c r="A96" s="35" t="s">
        <v>327</v>
      </c>
      <c r="B96" s="35"/>
      <c r="C96" s="35"/>
      <c r="D96" s="35"/>
      <c r="E96" s="35"/>
      <c r="F96" s="35"/>
      <c r="G96" s="35"/>
      <c r="H96" s="35"/>
      <c r="I96" s="35"/>
      <c r="J96" s="35"/>
      <c r="K96" s="35"/>
    </row>
    <row r="97" spans="1:6" x14ac:dyDescent="0.55000000000000004">
      <c r="C97" s="14" t="s">
        <v>262</v>
      </c>
      <c r="D97" s="212" t="s">
        <v>328</v>
      </c>
      <c r="E97" s="212" t="s">
        <v>329</v>
      </c>
      <c r="F97" s="14" t="s">
        <v>268</v>
      </c>
    </row>
    <row r="98" spans="1:6" x14ac:dyDescent="0.55000000000000004">
      <c r="B98" s="37"/>
      <c r="C98" s="213" t="s">
        <v>330</v>
      </c>
      <c r="D98" s="551" t="s">
        <v>331</v>
      </c>
      <c r="E98" s="553" t="s">
        <v>332</v>
      </c>
      <c r="F98" s="145" t="s">
        <v>333</v>
      </c>
    </row>
    <row r="99" spans="1:6" x14ac:dyDescent="0.55000000000000004">
      <c r="B99" s="38" t="s">
        <v>334</v>
      </c>
      <c r="C99" s="294" t="s">
        <v>335</v>
      </c>
      <c r="D99" s="552"/>
      <c r="E99" s="554"/>
      <c r="F99" s="2" t="s">
        <v>336</v>
      </c>
    </row>
    <row r="100" spans="1:6" x14ac:dyDescent="0.55000000000000004">
      <c r="A100" s="13">
        <v>262</v>
      </c>
      <c r="B100" s="37" t="s">
        <v>337</v>
      </c>
      <c r="C100" s="43"/>
      <c r="D100" s="38"/>
      <c r="E100" s="38"/>
      <c r="F100" s="41">
        <v>0.99919999999999998</v>
      </c>
    </row>
    <row r="101" spans="1:6" x14ac:dyDescent="0.55000000000000004">
      <c r="A101" s="13">
        <v>269</v>
      </c>
      <c r="B101" s="38" t="s">
        <v>185</v>
      </c>
      <c r="C101" s="43">
        <v>3.794170491727654</v>
      </c>
      <c r="D101" s="215">
        <v>1.8312924191793809</v>
      </c>
      <c r="E101" s="216">
        <f>C101-D101</f>
        <v>1.9628780725482731</v>
      </c>
      <c r="F101" s="41">
        <v>2.3244602964031844</v>
      </c>
    </row>
    <row r="102" spans="1:6" x14ac:dyDescent="0.55000000000000004">
      <c r="A102" s="13">
        <v>270</v>
      </c>
      <c r="B102" s="38" t="s">
        <v>186</v>
      </c>
      <c r="C102" s="43">
        <v>7.7929334002168869</v>
      </c>
      <c r="D102" s="215">
        <v>1.115591470838367</v>
      </c>
      <c r="E102" s="216">
        <f t="shared" ref="E102:E113" si="27">C102-D102</f>
        <v>6.6773419293785201</v>
      </c>
      <c r="F102" s="41">
        <v>3.0820276856616209</v>
      </c>
    </row>
    <row r="103" spans="1:6" x14ac:dyDescent="0.55000000000000004">
      <c r="A103" s="13">
        <v>271</v>
      </c>
      <c r="B103" s="38" t="s">
        <v>187</v>
      </c>
      <c r="C103" s="43">
        <v>17.025159564047829</v>
      </c>
      <c r="D103" s="215">
        <v>7.8789619630705348</v>
      </c>
      <c r="E103" s="216">
        <f t="shared" si="27"/>
        <v>9.1461976009772954</v>
      </c>
      <c r="F103" s="41">
        <v>9.0230835297555849</v>
      </c>
    </row>
    <row r="104" spans="1:6" x14ac:dyDescent="0.55000000000000004">
      <c r="A104" s="13">
        <v>272</v>
      </c>
      <c r="B104" s="38" t="s">
        <v>312</v>
      </c>
      <c r="C104" s="43">
        <v>0.86286796613579175</v>
      </c>
      <c r="D104" s="215">
        <v>0.51179624603163931</v>
      </c>
      <c r="E104" s="216">
        <f t="shared" si="27"/>
        <v>0.35107172010415244</v>
      </c>
      <c r="F104" s="41">
        <v>0.90801915694760393</v>
      </c>
    </row>
    <row r="105" spans="1:6" x14ac:dyDescent="0.55000000000000004">
      <c r="A105" s="13">
        <v>273</v>
      </c>
      <c r="B105" s="38" t="s">
        <v>313</v>
      </c>
      <c r="C105" s="43">
        <v>0.7382452003857306</v>
      </c>
      <c r="D105" s="215">
        <v>0.43568361552487767</v>
      </c>
      <c r="E105" s="216">
        <f t="shared" si="27"/>
        <v>0.30256158486085294</v>
      </c>
      <c r="F105" s="41">
        <v>0.80584439797422347</v>
      </c>
    </row>
    <row r="106" spans="1:6" x14ac:dyDescent="0.55000000000000004">
      <c r="A106" s="13">
        <v>274</v>
      </c>
      <c r="B106" s="38" t="s">
        <v>314</v>
      </c>
      <c r="C106" s="43">
        <v>7.2122665134214694</v>
      </c>
      <c r="D106" s="215">
        <v>4.9559451836861674</v>
      </c>
      <c r="E106" s="216">
        <f t="shared" si="27"/>
        <v>2.256321329735302</v>
      </c>
      <c r="F106" s="41">
        <v>4.7292860987305891</v>
      </c>
    </row>
    <row r="107" spans="1:6" x14ac:dyDescent="0.55000000000000004">
      <c r="A107" s="13">
        <v>275</v>
      </c>
      <c r="B107" s="38" t="s">
        <v>188</v>
      </c>
      <c r="C107" s="43">
        <v>0.1078869948428002</v>
      </c>
      <c r="D107" s="215">
        <v>4.9179222918621167E-2</v>
      </c>
      <c r="E107" s="216">
        <f t="shared" si="27"/>
        <v>5.8707771924179038E-2</v>
      </c>
      <c r="F107" s="41">
        <v>9.8619559599354811E-2</v>
      </c>
    </row>
    <row r="108" spans="1:6" x14ac:dyDescent="0.55000000000000004">
      <c r="A108" s="13">
        <v>276</v>
      </c>
      <c r="B108" s="38" t="s">
        <v>189</v>
      </c>
      <c r="C108" s="43">
        <v>0.18607484093526161</v>
      </c>
      <c r="D108" s="215">
        <v>0.10808693635588996</v>
      </c>
      <c r="E108" s="216">
        <f t="shared" si="27"/>
        <v>7.7987904579371645E-2</v>
      </c>
      <c r="F108" s="41">
        <v>0.18875012273099356</v>
      </c>
    </row>
    <row r="109" spans="1:6" x14ac:dyDescent="0.55000000000000004">
      <c r="A109" s="13">
        <v>277</v>
      </c>
      <c r="B109" s="38" t="s">
        <v>179</v>
      </c>
      <c r="C109" s="43">
        <v>91.559752748431535</v>
      </c>
      <c r="D109" s="215">
        <v>2.0512515408776952</v>
      </c>
      <c r="E109" s="216">
        <f t="shared" si="27"/>
        <v>89.508501207553834</v>
      </c>
      <c r="F109" s="41">
        <v>9.3201121206943451</v>
      </c>
    </row>
    <row r="110" spans="1:6" x14ac:dyDescent="0.55000000000000004">
      <c r="A110" s="13">
        <v>278</v>
      </c>
      <c r="B110" s="38" t="s">
        <v>180</v>
      </c>
      <c r="C110" s="43">
        <v>9.7165575067149984E-2</v>
      </c>
      <c r="D110" s="215">
        <v>3.2878602995157047E-2</v>
      </c>
      <c r="E110" s="216">
        <f t="shared" si="27"/>
        <v>6.4286972071992937E-2</v>
      </c>
      <c r="F110" s="41">
        <v>8.5260986052925369E-2</v>
      </c>
    </row>
    <row r="111" spans="1:6" x14ac:dyDescent="0.55000000000000004">
      <c r="A111" s="13">
        <v>279</v>
      </c>
      <c r="B111" s="38" t="s">
        <v>178</v>
      </c>
      <c r="C111" s="214">
        <v>6299.6489254192938</v>
      </c>
      <c r="D111" s="215">
        <v>1835.3996559965958</v>
      </c>
      <c r="E111" s="216">
        <f>C111-D111</f>
        <v>4464.2492694226985</v>
      </c>
      <c r="F111" s="7">
        <v>4828.4185768677271</v>
      </c>
    </row>
    <row r="112" spans="1:6" x14ac:dyDescent="0.55000000000000004">
      <c r="A112" s="13">
        <v>280</v>
      </c>
      <c r="B112" s="38" t="s">
        <v>319</v>
      </c>
      <c r="C112" s="217">
        <f>C101*Fuel_Specs!$B$19/Fuel_Specs!$B$22+C102*Fuel_Specs!$B$20/Fuel_Specs!$B$22+C111</f>
        <v>6323.7201283188524</v>
      </c>
      <c r="D112" s="217">
        <f>D101*Fuel_Specs!$B$19/Fuel_Specs!$B$22+D102*Fuel_Specs!$B$20/Fuel_Specs!$B$22+D111</f>
        <v>1842.8602563476891</v>
      </c>
      <c r="E112" s="217">
        <f>C112-D112</f>
        <v>4480.8598719711636</v>
      </c>
      <c r="F112" s="217">
        <f>F101*Fuel_Specs!$B$19/Fuel_Specs!$B$22+F102*Fuel_Specs!$B$20/Fuel_Specs!$B$22+F111</f>
        <v>4840.5063311546992</v>
      </c>
    </row>
    <row r="113" spans="1:12" x14ac:dyDescent="0.55000000000000004">
      <c r="A113" s="13">
        <v>281</v>
      </c>
      <c r="B113" s="42" t="s">
        <v>320</v>
      </c>
      <c r="C113" s="218">
        <f>C112+C109*CH4_GWP_100yr+C110*N2O_GWP_100yr</f>
        <v>9078.7269622154454</v>
      </c>
      <c r="D113" s="218">
        <f>D112+D109*CH4_GWP_100yr+D110*N2O_GWP_100yr</f>
        <v>1912.9634108835223</v>
      </c>
      <c r="E113" s="218">
        <f t="shared" si="27"/>
        <v>7165.7635513319228</v>
      </c>
      <c r="F113" s="218">
        <f>F112+F109*CH4_GWP_100yr+F110*N2O_GWP_100yr</f>
        <v>5141.5219215438392</v>
      </c>
    </row>
    <row r="114" spans="1:12" ht="14.7" thickBot="1" x14ac:dyDescent="0.6">
      <c r="F114" s="218">
        <f>C113*F100+F113</f>
        <v>14212.985902189512</v>
      </c>
    </row>
    <row r="115" spans="1:12" x14ac:dyDescent="0.55000000000000004">
      <c r="A115" s="301"/>
      <c r="B115" s="302" t="s">
        <v>332</v>
      </c>
      <c r="C115" s="303">
        <f>E113*F100</f>
        <v>7160.0309404908576</v>
      </c>
      <c r="D115" s="304"/>
    </row>
    <row r="116" spans="1:12" x14ac:dyDescent="0.55000000000000004">
      <c r="A116" s="305"/>
      <c r="B116" s="170" t="s">
        <v>338</v>
      </c>
      <c r="C116" s="206">
        <f>D113*F100</f>
        <v>1911.4330401548154</v>
      </c>
      <c r="D116" s="306"/>
    </row>
    <row r="117" spans="1:12" ht="14.7" thickBot="1" x14ac:dyDescent="0.6">
      <c r="A117" s="307"/>
      <c r="B117" s="308" t="s">
        <v>30</v>
      </c>
      <c r="C117" s="309">
        <f>F113</f>
        <v>5141.5219215438392</v>
      </c>
      <c r="D117" s="310"/>
    </row>
    <row r="119" spans="1:12" x14ac:dyDescent="0.55000000000000004">
      <c r="A119" s="35" t="s">
        <v>339</v>
      </c>
      <c r="B119" s="35"/>
      <c r="C119" s="35"/>
      <c r="D119" s="35"/>
      <c r="E119" s="35"/>
      <c r="F119" s="35"/>
      <c r="G119" s="35"/>
      <c r="H119" s="35"/>
      <c r="I119" s="35"/>
      <c r="J119" s="35"/>
      <c r="K119" s="35"/>
    </row>
    <row r="120" spans="1:12" x14ac:dyDescent="0.55000000000000004">
      <c r="A120" s="201"/>
      <c r="B120" s="201"/>
      <c r="C120" s="201"/>
      <c r="D120" s="201"/>
      <c r="E120" s="201"/>
      <c r="F120" s="201"/>
      <c r="G120" s="201"/>
      <c r="H120" s="201"/>
      <c r="I120" s="201"/>
      <c r="J120" s="201"/>
      <c r="K120" s="201"/>
    </row>
    <row r="121" spans="1:12" s="209" customFormat="1" x14ac:dyDescent="0.55000000000000004">
      <c r="A121" s="208" t="s">
        <v>340</v>
      </c>
      <c r="K121" s="210"/>
      <c r="L121" s="211"/>
    </row>
    <row r="122" spans="1:12" x14ac:dyDescent="0.55000000000000004">
      <c r="A122" s="201"/>
      <c r="B122" s="201" t="s">
        <v>341</v>
      </c>
      <c r="C122" s="202" t="s">
        <v>265</v>
      </c>
      <c r="D122" s="201"/>
      <c r="E122" s="201"/>
      <c r="F122" s="201"/>
      <c r="G122" s="201"/>
      <c r="H122" s="201"/>
      <c r="I122" s="201"/>
      <c r="J122" s="201"/>
      <c r="K122" s="201"/>
    </row>
    <row r="123" spans="1:12" x14ac:dyDescent="0.55000000000000004">
      <c r="A123" s="201"/>
      <c r="B123" s="201" t="s">
        <v>342</v>
      </c>
      <c r="C123" s="201"/>
      <c r="D123" s="201"/>
      <c r="E123" s="201"/>
      <c r="F123" s="201"/>
      <c r="H123" s="201"/>
      <c r="I123" s="201"/>
      <c r="J123" s="201"/>
      <c r="K123" s="201"/>
    </row>
    <row r="124" spans="1:12" x14ac:dyDescent="0.55000000000000004">
      <c r="A124" s="13">
        <v>120</v>
      </c>
      <c r="B124" s="179" t="s">
        <v>343</v>
      </c>
      <c r="C124" s="203">
        <v>0.25322434607682498</v>
      </c>
      <c r="D124" s="201"/>
      <c r="E124" s="201"/>
      <c r="F124" s="201"/>
      <c r="H124" s="201"/>
      <c r="I124" s="201"/>
      <c r="J124" s="201"/>
      <c r="K124" s="201"/>
    </row>
    <row r="125" spans="1:12" x14ac:dyDescent="0.55000000000000004">
      <c r="A125" s="13">
        <v>121</v>
      </c>
      <c r="B125" s="179" t="s">
        <v>344</v>
      </c>
      <c r="C125" s="203">
        <v>0.74677565392317502</v>
      </c>
      <c r="D125" s="201"/>
      <c r="E125" s="201"/>
      <c r="F125" s="201"/>
      <c r="H125" s="201"/>
      <c r="I125" s="201"/>
      <c r="J125" s="201"/>
      <c r="K125" s="201"/>
    </row>
    <row r="127" spans="1:12" x14ac:dyDescent="0.55000000000000004">
      <c r="C127" s="14" t="s">
        <v>263</v>
      </c>
      <c r="F127" s="14" t="s">
        <v>262</v>
      </c>
      <c r="G127" s="14" t="s">
        <v>263</v>
      </c>
      <c r="H127" s="14" t="s">
        <v>100</v>
      </c>
      <c r="I127" s="14" t="s">
        <v>264</v>
      </c>
      <c r="J127" s="14" t="s">
        <v>265</v>
      </c>
      <c r="K127" s="14" t="s">
        <v>266</v>
      </c>
      <c r="L127" s="14" t="s">
        <v>345</v>
      </c>
    </row>
    <row r="128" spans="1:12" ht="30" customHeight="1" x14ac:dyDescent="0.55000000000000004">
      <c r="B128" s="37"/>
      <c r="C128" s="563" t="s">
        <v>346</v>
      </c>
      <c r="E128" s="37"/>
      <c r="F128" s="555" t="s">
        <v>347</v>
      </c>
      <c r="G128" s="555" t="s">
        <v>348</v>
      </c>
      <c r="H128" s="555" t="s">
        <v>349</v>
      </c>
      <c r="I128" s="555" t="s">
        <v>350</v>
      </c>
      <c r="J128" s="555" t="s">
        <v>351</v>
      </c>
      <c r="K128" s="555" t="s">
        <v>352</v>
      </c>
      <c r="L128" s="557" t="s">
        <v>353</v>
      </c>
    </row>
    <row r="129" spans="1:12" ht="36" customHeight="1" x14ac:dyDescent="0.55000000000000004">
      <c r="B129" s="42" t="s">
        <v>334</v>
      </c>
      <c r="C129" s="564"/>
      <c r="E129" s="42" t="s">
        <v>334</v>
      </c>
      <c r="F129" s="556"/>
      <c r="G129" s="556"/>
      <c r="H129" s="556"/>
      <c r="I129" s="556"/>
      <c r="J129" s="556"/>
      <c r="K129" s="556"/>
      <c r="L129" s="558"/>
    </row>
    <row r="130" spans="1:12" x14ac:dyDescent="0.55000000000000004">
      <c r="A130" s="13">
        <v>84</v>
      </c>
      <c r="B130" s="38" t="s">
        <v>337</v>
      </c>
      <c r="C130" s="38"/>
      <c r="D130" s="13">
        <v>25</v>
      </c>
      <c r="E130" s="38" t="s">
        <v>337</v>
      </c>
      <c r="F130" s="38"/>
      <c r="G130" s="38">
        <v>1</v>
      </c>
      <c r="H130" s="38"/>
      <c r="I130" s="38"/>
      <c r="J130" s="38">
        <v>1</v>
      </c>
      <c r="K130" s="38"/>
      <c r="L130" s="38">
        <v>1.0017136884320208</v>
      </c>
    </row>
    <row r="131" spans="1:12" x14ac:dyDescent="0.55000000000000004">
      <c r="A131" s="13">
        <v>91</v>
      </c>
      <c r="B131" s="38" t="s">
        <v>185</v>
      </c>
      <c r="C131" s="147">
        <v>9.3568112629335829</v>
      </c>
      <c r="D131" s="13">
        <v>56</v>
      </c>
      <c r="E131" s="38" t="s">
        <v>354</v>
      </c>
      <c r="F131" s="200">
        <v>2.7496015136206564</v>
      </c>
      <c r="G131" s="200">
        <v>0.26987917182066684</v>
      </c>
      <c r="H131" s="200">
        <v>4.4000000000000004</v>
      </c>
      <c r="I131" s="200">
        <v>2.4487421924484356</v>
      </c>
      <c r="J131" s="200">
        <v>0.26180897617986432</v>
      </c>
      <c r="K131" s="200">
        <v>4.4000000000000004</v>
      </c>
      <c r="L131" s="200">
        <v>2.1557122909110529</v>
      </c>
    </row>
    <row r="132" spans="1:12" x14ac:dyDescent="0.55000000000000004">
      <c r="A132" s="13">
        <v>92</v>
      </c>
      <c r="B132" s="38" t="s">
        <v>186</v>
      </c>
      <c r="C132" s="147">
        <v>26.04016120093182</v>
      </c>
      <c r="D132" s="13">
        <v>57</v>
      </c>
      <c r="E132" s="38" t="s">
        <v>355</v>
      </c>
      <c r="F132" s="200">
        <v>13.469698667539372</v>
      </c>
      <c r="G132" s="200">
        <v>1.448728528202998</v>
      </c>
      <c r="H132" s="200">
        <v>1.2</v>
      </c>
      <c r="I132" s="200">
        <v>11.967511765294834</v>
      </c>
      <c r="J132" s="200">
        <v>1.4084341403045924</v>
      </c>
      <c r="K132" s="200">
        <v>1.2</v>
      </c>
      <c r="L132" s="200">
        <v>11.047973493311872</v>
      </c>
    </row>
    <row r="133" spans="1:12" x14ac:dyDescent="0.55000000000000004">
      <c r="A133" s="13">
        <v>93</v>
      </c>
      <c r="B133" s="38" t="s">
        <v>187</v>
      </c>
      <c r="C133" s="147">
        <v>31.285492913359136</v>
      </c>
      <c r="D133" s="13">
        <v>58</v>
      </c>
      <c r="E133" s="38" t="s">
        <v>356</v>
      </c>
      <c r="F133" s="200">
        <v>15.63325210247975</v>
      </c>
      <c r="G133" s="200">
        <v>2.1741058351526248</v>
      </c>
      <c r="H133" s="200">
        <v>1.546</v>
      </c>
      <c r="I133" s="200">
        <v>13.904894015873015</v>
      </c>
      <c r="J133" s="200">
        <v>2.127744672593546</v>
      </c>
      <c r="K133" s="200">
        <v>1.546</v>
      </c>
      <c r="L133" s="200">
        <v>13.226557658564849</v>
      </c>
    </row>
    <row r="134" spans="1:12" x14ac:dyDescent="0.55000000000000004">
      <c r="A134" s="13">
        <v>94</v>
      </c>
      <c r="B134" s="38" t="s">
        <v>312</v>
      </c>
      <c r="C134" s="147">
        <v>0.42159697610207453</v>
      </c>
      <c r="D134" s="13">
        <v>59</v>
      </c>
      <c r="E134" s="38" t="s">
        <v>357</v>
      </c>
      <c r="F134" s="200">
        <v>0.22572974214325411</v>
      </c>
      <c r="G134" s="200">
        <v>0.15726946994027524</v>
      </c>
      <c r="H134" s="200">
        <v>0.02</v>
      </c>
      <c r="I134" s="200">
        <v>0.19901890453412963</v>
      </c>
      <c r="J134" s="200">
        <v>0.15655298329663242</v>
      </c>
      <c r="K134" s="200">
        <v>0.02</v>
      </c>
      <c r="L134" s="200">
        <v>3.8424306800773654E-2</v>
      </c>
    </row>
    <row r="135" spans="1:12" x14ac:dyDescent="0.55000000000000004">
      <c r="A135" s="13">
        <v>95</v>
      </c>
      <c r="B135" s="38" t="s">
        <v>313</v>
      </c>
      <c r="C135" s="147">
        <v>0.39652191600104714</v>
      </c>
      <c r="D135" s="13">
        <v>60</v>
      </c>
      <c r="E135" s="38" t="s">
        <v>358</v>
      </c>
      <c r="F135" s="200">
        <v>0.22372784996448505</v>
      </c>
      <c r="G135" s="200">
        <v>0.14685961256335381</v>
      </c>
      <c r="H135" s="200">
        <v>0.01</v>
      </c>
      <c r="I135" s="200">
        <v>0.19794543166384557</v>
      </c>
      <c r="J135" s="200">
        <v>0.14616802967016482</v>
      </c>
      <c r="K135" s="200">
        <v>0.01</v>
      </c>
      <c r="L135" s="200">
        <v>3.5086264554239202E-2</v>
      </c>
    </row>
    <row r="136" spans="1:12" x14ac:dyDescent="0.55000000000000004">
      <c r="A136" s="13">
        <v>96</v>
      </c>
      <c r="B136" s="38" t="s">
        <v>314</v>
      </c>
      <c r="C136" s="147">
        <v>11.628810168627639</v>
      </c>
      <c r="D136" s="13">
        <v>61</v>
      </c>
      <c r="E136" s="38" t="s">
        <v>359</v>
      </c>
      <c r="F136" s="200">
        <v>0.43325903646597558</v>
      </c>
      <c r="G136" s="200">
        <v>0.77048522778114958</v>
      </c>
      <c r="H136" s="200">
        <v>10.089</v>
      </c>
      <c r="I136" s="200">
        <v>0.38444808320098173</v>
      </c>
      <c r="J136" s="200">
        <v>0.76917593165986686</v>
      </c>
      <c r="K136" s="200">
        <v>10.089</v>
      </c>
      <c r="L136" s="200">
        <v>0.35420638210735528</v>
      </c>
    </row>
    <row r="137" spans="1:12" x14ac:dyDescent="0.55000000000000004">
      <c r="A137" s="13">
        <v>97</v>
      </c>
      <c r="B137" s="38" t="s">
        <v>188</v>
      </c>
      <c r="C137" s="147">
        <v>7.5995366273177753E-2</v>
      </c>
      <c r="D137" s="13">
        <v>62</v>
      </c>
      <c r="E137" s="38" t="s">
        <v>360</v>
      </c>
      <c r="F137" s="200">
        <v>4.8999888208186806E-2</v>
      </c>
      <c r="G137" s="200">
        <v>2.5778412377501562E-2</v>
      </c>
      <c r="H137" s="200">
        <v>0</v>
      </c>
      <c r="I137" s="200">
        <v>4.3110050687015837E-2</v>
      </c>
      <c r="J137" s="200">
        <v>2.5620424448448236E-2</v>
      </c>
      <c r="K137" s="200">
        <v>0</v>
      </c>
      <c r="L137" s="200">
        <v>5.6130274331906028E-3</v>
      </c>
    </row>
    <row r="138" spans="1:12" x14ac:dyDescent="0.55000000000000004">
      <c r="A138" s="13">
        <v>98</v>
      </c>
      <c r="B138" s="38" t="s">
        <v>189</v>
      </c>
      <c r="C138" s="147">
        <v>0.1548800371826568</v>
      </c>
      <c r="D138" s="13">
        <v>63</v>
      </c>
      <c r="E138" s="38" t="s">
        <v>361</v>
      </c>
      <c r="F138" s="200">
        <v>9.1906536298867039E-2</v>
      </c>
      <c r="G138" s="200">
        <v>5.9553991373748505E-2</v>
      </c>
      <c r="H138" s="200">
        <v>0</v>
      </c>
      <c r="I138" s="200">
        <v>8.1490260877143311E-2</v>
      </c>
      <c r="J138" s="200">
        <v>5.9274587098772855E-2</v>
      </c>
      <c r="K138" s="200">
        <v>0</v>
      </c>
      <c r="L138" s="200">
        <v>1.1160914253202226E-2</v>
      </c>
    </row>
    <row r="139" spans="1:12" x14ac:dyDescent="0.55000000000000004">
      <c r="A139" s="13">
        <v>99</v>
      </c>
      <c r="B139" s="38" t="s">
        <v>179</v>
      </c>
      <c r="C139" s="147">
        <v>173.24253985850811</v>
      </c>
      <c r="D139" s="13">
        <v>64</v>
      </c>
      <c r="E139" s="38" t="s">
        <v>362</v>
      </c>
      <c r="F139" s="200">
        <v>12.16908539436141</v>
      </c>
      <c r="G139" s="200">
        <v>3.767126458805433</v>
      </c>
      <c r="H139" s="200"/>
      <c r="I139" s="200">
        <v>10.872461665399019</v>
      </c>
      <c r="J139" s="200">
        <v>3.7602087981577319</v>
      </c>
      <c r="K139" s="200"/>
      <c r="L139" s="200">
        <v>10.66175197429952</v>
      </c>
    </row>
    <row r="140" spans="1:12" x14ac:dyDescent="0.55000000000000004">
      <c r="A140" s="13">
        <v>100</v>
      </c>
      <c r="B140" s="38" t="s">
        <v>180</v>
      </c>
      <c r="C140" s="147">
        <v>0.79625696101723697</v>
      </c>
      <c r="D140" s="13">
        <v>65</v>
      </c>
      <c r="E140" s="38" t="s">
        <v>363</v>
      </c>
      <c r="F140" s="200">
        <v>1.1997371943911766E-2</v>
      </c>
      <c r="G140" s="200">
        <v>1.8960654355950776E-2</v>
      </c>
      <c r="H140" s="200"/>
      <c r="I140" s="200">
        <v>1.0789110930009229E-2</v>
      </c>
      <c r="J140" s="200">
        <v>1.8928244182553601E-2</v>
      </c>
      <c r="K140" s="200"/>
      <c r="L140" s="200">
        <v>0.76617397308056234</v>
      </c>
    </row>
    <row r="141" spans="1:12" x14ac:dyDescent="0.55000000000000004">
      <c r="A141" s="13">
        <v>101</v>
      </c>
      <c r="B141" s="38" t="s">
        <v>178</v>
      </c>
      <c r="C141" s="146">
        <v>5976.501289865545</v>
      </c>
      <c r="D141" s="13">
        <v>66</v>
      </c>
      <c r="E141" s="38" t="s">
        <v>364</v>
      </c>
      <c r="F141" s="200">
        <v>2601.3367623287468</v>
      </c>
      <c r="G141" s="200">
        <v>2094.9412706211137</v>
      </c>
      <c r="H141" s="200">
        <v>462.92408559485364</v>
      </c>
      <c r="I141" s="200">
        <v>2329.7089400876989</v>
      </c>
      <c r="J141" s="200">
        <v>2087.6551753842118</v>
      </c>
      <c r="K141" s="200">
        <v>462.92408559485364</v>
      </c>
      <c r="L141" s="200">
        <v>1017.1009669644243</v>
      </c>
    </row>
    <row r="142" spans="1:12" x14ac:dyDescent="0.55000000000000004">
      <c r="A142" s="13">
        <v>102</v>
      </c>
      <c r="B142" s="38" t="s">
        <v>319</v>
      </c>
      <c r="C142" s="168">
        <f>C131*Fuel_Specs!$B$19/Fuel_Specs!$B$22+C132*Fuel_Specs!$B$20/Fuel_Specs!$B$22+C141</f>
        <v>6046.5836049507716</v>
      </c>
      <c r="D142" s="13">
        <v>67</v>
      </c>
      <c r="E142" s="38" t="s">
        <v>365</v>
      </c>
      <c r="F142" s="200">
        <v>105.06828689650604</v>
      </c>
      <c r="G142" s="200">
        <v>6.2094539348466951</v>
      </c>
      <c r="H142" s="200"/>
      <c r="I142" s="200">
        <v>106.10701815554559</v>
      </c>
      <c r="J142" s="200">
        <v>6.2094539348466951</v>
      </c>
      <c r="K142" s="200"/>
      <c r="L142" s="200">
        <v>35.346922767332423</v>
      </c>
    </row>
    <row r="143" spans="1:12" x14ac:dyDescent="0.55000000000000004">
      <c r="A143" s="13">
        <v>103</v>
      </c>
      <c r="B143" s="204" t="s">
        <v>320</v>
      </c>
      <c r="C143" s="205">
        <f>C142+C139*CH4_GWP_100yr+C140*N2O_GWP_100yr</f>
        <v>11426.58944309202</v>
      </c>
      <c r="E143" s="204" t="s">
        <v>321</v>
      </c>
      <c r="F143" s="204">
        <f>F131*Fuel_Specs!$B$19/Fuel_Specs!$B$22+F132*Fuel_Specs!$B$20/Fuel_Specs!$B$22+(F139+F142)*CH4_GWP_100yr+F140*N2O_GWP_100yr+F141</f>
        <v>6128.0219998561079</v>
      </c>
      <c r="G143" s="204">
        <f>G131*Fuel_Specs!$B$19/Fuel_Specs!$B$22+G132*Fuel_Specs!$B$20/Fuel_Specs!$B$22+(G139+G142)*CH4_GWP_100yr+G140*N2O_GWP_100yr+G141</f>
        <v>2400.5373218114246</v>
      </c>
      <c r="H143" s="204">
        <f>H131*Fuel_Specs!$B$19/Fuel_Specs!$B$22+H132*Fuel_Specs!$B$20/Fuel_Specs!$B$22+(H139+H142)*CH4_GWP_100yr+H140*N2O_GWP_100yr+H141</f>
        <v>478.52313321390125</v>
      </c>
      <c r="I143" s="204">
        <f>I131*Fuel_Specs!$B$19/Fuel_Specs!$B$22+I132*Fuel_Specs!$B$20/Fuel_Specs!$B$22+(I139+I142)*CH4_GWP_100yr+I140*N2O_GWP_100yr+I141</f>
        <v>5845.0808691190969</v>
      </c>
      <c r="J143" s="204">
        <f>J131*Fuel_Specs!$B$19/Fuel_Specs!$B$22+J132*Fuel_Specs!$B$20/Fuel_Specs!$B$22+(J139+J142)*CH4_GWP_100yr+J140*N2O_GWP_100yr+J141</f>
        <v>2392.9477604477247</v>
      </c>
      <c r="K143" s="204">
        <f>K131*Fuel_Specs!$B$19/Fuel_Specs!$B$22+K132*Fuel_Specs!$B$20/Fuel_Specs!$B$22+(K139+K142)*CH4_GWP_100yr+K140*N2O_GWP_100yr+K141</f>
        <v>478.52313321390125</v>
      </c>
      <c r="L143" s="204">
        <f>L131*Fuel_Specs!$B$19/Fuel_Specs!$B$22+L132*Fuel_Specs!$B$20/Fuel_Specs!$B$22+(L139+L142)*CH4_GWP_100yr+L140*N2O_GWP_100yr+L141</f>
        <v>2621.4047067598312</v>
      </c>
    </row>
    <row r="145" spans="1:14" x14ac:dyDescent="0.55000000000000004">
      <c r="D145" s="221" t="s">
        <v>366</v>
      </c>
    </row>
    <row r="146" spans="1:14" x14ac:dyDescent="0.55000000000000004">
      <c r="B146" s="170" t="s">
        <v>367</v>
      </c>
      <c r="C146" s="206">
        <f>((F143*G130+G143+H143)*C124+(I143*J130+J143+K143)*C125)*L130</f>
        <v>8805.1847363321885</v>
      </c>
      <c r="D146" s="206"/>
      <c r="L146" s="132">
        <f>L143</f>
        <v>2621.4047067598312</v>
      </c>
    </row>
    <row r="147" spans="1:14" x14ac:dyDescent="0.55000000000000004">
      <c r="B147" s="170" t="s">
        <v>368</v>
      </c>
      <c r="C147" s="206">
        <f>L146</f>
        <v>2621.4047067598312</v>
      </c>
      <c r="D147" s="220">
        <f>L130</f>
        <v>1.0017136884320208</v>
      </c>
      <c r="K147" s="195"/>
      <c r="L147" s="132"/>
    </row>
    <row r="148" spans="1:14" x14ac:dyDescent="0.55000000000000004">
      <c r="B148" s="170" t="s">
        <v>96</v>
      </c>
      <c r="C148" s="206">
        <f>C146+C147</f>
        <v>11426.58944309202</v>
      </c>
      <c r="K148" s="195"/>
      <c r="L148" s="132"/>
    </row>
    <row r="149" spans="1:14" x14ac:dyDescent="0.55000000000000004">
      <c r="K149" s="195"/>
      <c r="L149" s="132"/>
    </row>
    <row r="150" spans="1:14" x14ac:dyDescent="0.55000000000000004">
      <c r="A150" s="208" t="s">
        <v>369</v>
      </c>
      <c r="B150" s="209"/>
      <c r="C150" s="209"/>
      <c r="D150" s="209"/>
      <c r="E150" s="209"/>
      <c r="F150" s="209"/>
      <c r="G150" s="209"/>
      <c r="H150" s="209"/>
      <c r="I150" s="209"/>
      <c r="J150" s="209"/>
      <c r="K150" s="210"/>
      <c r="L150" s="211"/>
      <c r="M150" s="209"/>
      <c r="N150" s="209"/>
    </row>
    <row r="151" spans="1:14" x14ac:dyDescent="0.55000000000000004">
      <c r="C151" t="s">
        <v>370</v>
      </c>
    </row>
    <row r="152" spans="1:14" x14ac:dyDescent="0.55000000000000004">
      <c r="C152" s="14" t="s">
        <v>263</v>
      </c>
      <c r="F152" s="14" t="s">
        <v>371</v>
      </c>
      <c r="G152" s="14" t="s">
        <v>372</v>
      </c>
      <c r="H152" s="14" t="s">
        <v>373</v>
      </c>
      <c r="I152" s="14" t="s">
        <v>305</v>
      </c>
      <c r="J152" s="14" t="s">
        <v>374</v>
      </c>
      <c r="K152" s="14" t="s">
        <v>375</v>
      </c>
      <c r="L152" s="14" t="s">
        <v>376</v>
      </c>
      <c r="M152" s="14" t="s">
        <v>377</v>
      </c>
      <c r="N152" s="14" t="s">
        <v>378</v>
      </c>
    </row>
    <row r="153" spans="1:14" ht="15" customHeight="1" x14ac:dyDescent="0.55000000000000004">
      <c r="B153" s="37"/>
      <c r="C153" s="563" t="s">
        <v>346</v>
      </c>
      <c r="E153" s="37"/>
      <c r="F153" s="555" t="s">
        <v>379</v>
      </c>
      <c r="G153" s="555" t="s">
        <v>380</v>
      </c>
      <c r="H153" s="555" t="s">
        <v>381</v>
      </c>
      <c r="I153" s="555" t="s">
        <v>382</v>
      </c>
      <c r="J153" s="555" t="s">
        <v>383</v>
      </c>
      <c r="K153" s="555" t="s">
        <v>384</v>
      </c>
      <c r="L153" s="557" t="s">
        <v>385</v>
      </c>
      <c r="M153" s="555" t="s">
        <v>386</v>
      </c>
      <c r="N153" s="555" t="s">
        <v>387</v>
      </c>
    </row>
    <row r="154" spans="1:14" x14ac:dyDescent="0.55000000000000004">
      <c r="B154" s="42"/>
      <c r="C154" s="564"/>
      <c r="E154" s="42" t="s">
        <v>334</v>
      </c>
      <c r="F154" s="556"/>
      <c r="G154" s="556"/>
      <c r="H154" s="556"/>
      <c r="I154" s="556"/>
      <c r="J154" s="556"/>
      <c r="K154" s="556"/>
      <c r="L154" s="558"/>
      <c r="M154" s="556"/>
      <c r="N154" s="556"/>
    </row>
    <row r="155" spans="1:14" x14ac:dyDescent="0.55000000000000004">
      <c r="A155" s="13">
        <v>84</v>
      </c>
      <c r="B155" s="38" t="s">
        <v>337</v>
      </c>
      <c r="C155" s="38"/>
      <c r="D155" s="13">
        <v>25</v>
      </c>
      <c r="E155" s="38" t="s">
        <v>337</v>
      </c>
      <c r="F155" s="38"/>
      <c r="G155" s="38">
        <v>1</v>
      </c>
      <c r="H155" s="38"/>
      <c r="I155" s="38">
        <v>1.0002284917909361</v>
      </c>
      <c r="J155" s="38">
        <v>1.0010050251256282</v>
      </c>
      <c r="K155" s="38">
        <v>1.0105263157894737</v>
      </c>
      <c r="L155" s="38">
        <v>1.0050251256281406</v>
      </c>
      <c r="M155" s="38">
        <v>1.0010050251256282</v>
      </c>
      <c r="N155" s="38">
        <v>1.0002284917909361</v>
      </c>
    </row>
    <row r="156" spans="1:14" x14ac:dyDescent="0.55000000000000004">
      <c r="A156" s="13">
        <v>91</v>
      </c>
      <c r="B156" s="38" t="s">
        <v>185</v>
      </c>
      <c r="C156" s="147">
        <v>10.108030624171388</v>
      </c>
      <c r="D156" s="13">
        <v>56</v>
      </c>
      <c r="E156" s="38" t="s">
        <v>354</v>
      </c>
      <c r="F156" s="200">
        <v>2.7495887995995889</v>
      </c>
      <c r="G156" s="200">
        <v>0.26981751504055768</v>
      </c>
      <c r="H156" s="200">
        <v>4.4000000000000004</v>
      </c>
      <c r="I156" s="200">
        <v>0.285990170023464</v>
      </c>
      <c r="J156" s="200">
        <v>0.84091712499759286</v>
      </c>
      <c r="K156" s="200">
        <v>1.0527638672965798</v>
      </c>
      <c r="L156" s="200"/>
      <c r="M156" s="200">
        <v>6.2684688282525214E-2</v>
      </c>
      <c r="N156" s="200">
        <v>0.285990170023464</v>
      </c>
    </row>
    <row r="157" spans="1:14" x14ac:dyDescent="0.55000000000000004">
      <c r="A157" s="13">
        <v>92</v>
      </c>
      <c r="B157" s="38" t="s">
        <v>186</v>
      </c>
      <c r="C157" s="147">
        <v>27.059047145679234</v>
      </c>
      <c r="D157" s="13">
        <v>57</v>
      </c>
      <c r="E157" s="38" t="s">
        <v>355</v>
      </c>
      <c r="F157" s="200">
        <v>13.4695840801191</v>
      </c>
      <c r="G157" s="200">
        <v>1.4481720404590745</v>
      </c>
      <c r="H157" s="200">
        <v>1.2</v>
      </c>
      <c r="I157" s="200">
        <v>1.4601063692082576</v>
      </c>
      <c r="J157" s="200">
        <v>5.5063192717622984</v>
      </c>
      <c r="K157" s="200">
        <v>1.8055820981597908</v>
      </c>
      <c r="L157" s="200"/>
      <c r="M157" s="200">
        <v>0.28694882645215136</v>
      </c>
      <c r="N157" s="200">
        <v>1.4601063692082576</v>
      </c>
    </row>
    <row r="158" spans="1:14" x14ac:dyDescent="0.55000000000000004">
      <c r="A158" s="13">
        <v>93</v>
      </c>
      <c r="B158" s="38" t="s">
        <v>187</v>
      </c>
      <c r="C158" s="147">
        <v>56.075825454237979</v>
      </c>
      <c r="D158" s="13">
        <v>58</v>
      </c>
      <c r="E158" s="38" t="s">
        <v>356</v>
      </c>
      <c r="F158" s="200">
        <v>15.633529973988805</v>
      </c>
      <c r="G158" s="200">
        <v>2.1754553034346049</v>
      </c>
      <c r="H158" s="200">
        <v>1.546</v>
      </c>
      <c r="I158" s="200">
        <v>1.7949608344467987</v>
      </c>
      <c r="J158" s="200">
        <v>6.1217767200318987</v>
      </c>
      <c r="K158" s="200">
        <v>25.081475747906076</v>
      </c>
      <c r="L158" s="200"/>
      <c r="M158" s="200">
        <v>1.2843906511945806</v>
      </c>
      <c r="N158" s="200">
        <v>1.7949608344467987</v>
      </c>
    </row>
    <row r="159" spans="1:14" x14ac:dyDescent="0.55000000000000004">
      <c r="A159" s="13">
        <v>94</v>
      </c>
      <c r="B159" s="38" t="s">
        <v>312</v>
      </c>
      <c r="C159" s="147">
        <v>2.1071028792975572</v>
      </c>
      <c r="D159" s="13">
        <v>59</v>
      </c>
      <c r="E159" s="38" t="s">
        <v>357</v>
      </c>
      <c r="F159" s="200">
        <v>0.22575895476581648</v>
      </c>
      <c r="G159" s="200">
        <v>0.1574113394961564</v>
      </c>
      <c r="H159" s="200">
        <v>0.02</v>
      </c>
      <c r="I159" s="200">
        <v>8.4264048410006148E-3</v>
      </c>
      <c r="J159" s="200">
        <v>0.44781494346073292</v>
      </c>
      <c r="K159" s="200">
        <v>1.1323963829391974</v>
      </c>
      <c r="L159" s="200"/>
      <c r="M159" s="200">
        <v>8.4752741717267044E-2</v>
      </c>
      <c r="N159" s="200">
        <v>8.4264048410006148E-3</v>
      </c>
    </row>
    <row r="160" spans="1:14" x14ac:dyDescent="0.55000000000000004">
      <c r="A160" s="13">
        <v>95</v>
      </c>
      <c r="B160" s="38" t="s">
        <v>313</v>
      </c>
      <c r="C160" s="147">
        <v>1.9559736363884979</v>
      </c>
      <c r="D160" s="13">
        <v>60</v>
      </c>
      <c r="E160" s="38" t="s">
        <v>358</v>
      </c>
      <c r="F160" s="200">
        <v>0.22375488327450732</v>
      </c>
      <c r="G160" s="200">
        <v>0.14699089840318785</v>
      </c>
      <c r="H160" s="200">
        <v>0.01</v>
      </c>
      <c r="I160" s="200">
        <v>7.7349107568886631E-3</v>
      </c>
      <c r="J160" s="200">
        <v>0.4277962775184419</v>
      </c>
      <c r="K160" s="200">
        <v>1.0417384612782714</v>
      </c>
      <c r="L160" s="200"/>
      <c r="M160" s="200">
        <v>6.9435040421336275E-2</v>
      </c>
      <c r="N160" s="200">
        <v>7.7349107568886631E-3</v>
      </c>
    </row>
    <row r="161" spans="1:14" x14ac:dyDescent="0.55000000000000004">
      <c r="A161" s="13">
        <v>96</v>
      </c>
      <c r="B161" s="38" t="s">
        <v>314</v>
      </c>
      <c r="C161" s="147">
        <v>22.897968993586883</v>
      </c>
      <c r="D161" s="13">
        <v>61</v>
      </c>
      <c r="E161" s="38" t="s">
        <v>359</v>
      </c>
      <c r="F161" s="200">
        <v>0.43345293586363309</v>
      </c>
      <c r="G161" s="200">
        <v>0.77142554496804394</v>
      </c>
      <c r="H161" s="200">
        <v>10.089</v>
      </c>
      <c r="I161" s="200">
        <v>6.9160279279450204E-2</v>
      </c>
      <c r="J161" s="200">
        <v>2.1176811782908405</v>
      </c>
      <c r="K161" s="200">
        <v>8.1155669872369547</v>
      </c>
      <c r="L161" s="200"/>
      <c r="M161" s="200">
        <v>0.93997402856628165</v>
      </c>
      <c r="N161" s="200">
        <v>6.9160279279450204E-2</v>
      </c>
    </row>
    <row r="162" spans="1:14" x14ac:dyDescent="0.55000000000000004">
      <c r="A162" s="13">
        <v>97</v>
      </c>
      <c r="B162" s="38" t="s">
        <v>188</v>
      </c>
      <c r="C162" s="147">
        <v>0.26244250450287526</v>
      </c>
      <c r="D162" s="13">
        <v>62</v>
      </c>
      <c r="E162" s="38" t="s">
        <v>360</v>
      </c>
      <c r="F162" s="200">
        <v>4.9003102766460249E-2</v>
      </c>
      <c r="G162" s="200">
        <v>2.579402370967946E-2</v>
      </c>
      <c r="H162" s="200">
        <v>0</v>
      </c>
      <c r="I162" s="200">
        <v>1.1118839625713541E-3</v>
      </c>
      <c r="J162" s="200">
        <v>2.1535973890273959E-2</v>
      </c>
      <c r="K162" s="200">
        <v>0.1559470686345453</v>
      </c>
      <c r="L162" s="200"/>
      <c r="M162" s="200">
        <v>5.2227191894794961E-3</v>
      </c>
      <c r="N162" s="200">
        <v>1.1118839625713541E-3</v>
      </c>
    </row>
    <row r="163" spans="1:14" x14ac:dyDescent="0.55000000000000004">
      <c r="A163" s="13">
        <v>98</v>
      </c>
      <c r="B163" s="38" t="s">
        <v>189</v>
      </c>
      <c r="C163" s="147">
        <v>0.82778170567709697</v>
      </c>
      <c r="D163" s="13">
        <v>63</v>
      </c>
      <c r="E163" s="38" t="s">
        <v>361</v>
      </c>
      <c r="F163" s="200">
        <v>9.191824901035707E-2</v>
      </c>
      <c r="G163" s="200">
        <v>5.9610873537399064E-2</v>
      </c>
      <c r="H163" s="200">
        <v>0</v>
      </c>
      <c r="I163" s="200">
        <v>2.8125153568281272E-3</v>
      </c>
      <c r="J163" s="200">
        <v>0.24206747311141769</v>
      </c>
      <c r="K163" s="200">
        <v>0.4055567415544542</v>
      </c>
      <c r="L163" s="200"/>
      <c r="M163" s="200">
        <v>1.3584015965150282E-2</v>
      </c>
      <c r="N163" s="200">
        <v>2.8125153568281272E-3</v>
      </c>
    </row>
    <row r="164" spans="1:14" x14ac:dyDescent="0.55000000000000004">
      <c r="A164" s="13">
        <v>99</v>
      </c>
      <c r="B164" s="38" t="s">
        <v>179</v>
      </c>
      <c r="C164" s="147">
        <v>270.25454590034207</v>
      </c>
      <c r="D164" s="13">
        <v>64</v>
      </c>
      <c r="E164" s="38" t="s">
        <v>362</v>
      </c>
      <c r="F164" s="200">
        <v>12.170240456543011</v>
      </c>
      <c r="G164" s="200">
        <v>3.772735957177904</v>
      </c>
      <c r="H164" s="200"/>
      <c r="I164" s="200">
        <v>1.5521734761665307</v>
      </c>
      <c r="J164" s="200">
        <v>12.794693518310586</v>
      </c>
      <c r="K164" s="200">
        <v>2.7518823221992088</v>
      </c>
      <c r="L164" s="200"/>
      <c r="M164" s="200">
        <v>0.53993058879872102</v>
      </c>
      <c r="N164" s="200">
        <v>1.5521734761665307</v>
      </c>
    </row>
    <row r="165" spans="1:14" x14ac:dyDescent="0.55000000000000004">
      <c r="A165" s="13">
        <v>100</v>
      </c>
      <c r="B165" s="38" t="s">
        <v>180</v>
      </c>
      <c r="C165" s="147">
        <v>0.29578451822121998</v>
      </c>
      <c r="D165" s="13">
        <v>65</v>
      </c>
      <c r="E165" s="38" t="s">
        <v>363</v>
      </c>
      <c r="F165" s="200">
        <v>1.1979388859953213E-2</v>
      </c>
      <c r="G165" s="200">
        <v>1.8873320460162196E-2</v>
      </c>
      <c r="H165" s="200"/>
      <c r="I165" s="200">
        <v>0.10012312537473768</v>
      </c>
      <c r="J165" s="200">
        <v>2.8729148015266635E-2</v>
      </c>
      <c r="K165" s="200">
        <v>2.595426960336189E-2</v>
      </c>
      <c r="L165" s="200"/>
      <c r="M165" s="200">
        <v>7.0047054863473521E-3</v>
      </c>
      <c r="N165" s="200">
        <v>0.10012312537473768</v>
      </c>
    </row>
    <row r="166" spans="1:14" x14ac:dyDescent="0.55000000000000004">
      <c r="A166" s="13">
        <v>101</v>
      </c>
      <c r="B166" s="38" t="s">
        <v>178</v>
      </c>
      <c r="C166" s="146">
        <v>13567.196187797585</v>
      </c>
      <c r="D166" s="13">
        <v>66</v>
      </c>
      <c r="E166" s="38" t="s">
        <v>364</v>
      </c>
      <c r="F166" s="200">
        <v>2601.1869763348</v>
      </c>
      <c r="G166" s="200">
        <v>2095.5235279720387</v>
      </c>
      <c r="H166" s="200">
        <v>462.92408559485364</v>
      </c>
      <c r="I166" s="200">
        <v>149.33958366775514</v>
      </c>
      <c r="J166" s="200">
        <v>6346.380185718639</v>
      </c>
      <c r="K166" s="200">
        <v>990.06451959528738</v>
      </c>
      <c r="L166" s="200"/>
      <c r="M166" s="200">
        <v>563.00242574307947</v>
      </c>
      <c r="N166" s="200">
        <v>149.33958366775514</v>
      </c>
    </row>
    <row r="167" spans="1:14" x14ac:dyDescent="0.55000000000000004">
      <c r="A167" s="13">
        <v>102</v>
      </c>
      <c r="B167" s="38" t="s">
        <v>319</v>
      </c>
      <c r="C167" s="168">
        <f>C156*Fuel_Specs!$B$19/Fuel_Specs!$B$22+C157*Fuel_Specs!$B$20/Fuel_Specs!$B$22+C166</f>
        <v>13641.220909709938</v>
      </c>
      <c r="D167" s="13">
        <v>67</v>
      </c>
      <c r="E167" s="38" t="s">
        <v>365</v>
      </c>
      <c r="F167" s="200">
        <v>105.06828689650604</v>
      </c>
      <c r="G167" s="200">
        <v>6.2094539348466951</v>
      </c>
      <c r="H167" s="200"/>
      <c r="I167" s="200">
        <v>4.712923035644323</v>
      </c>
      <c r="J167" s="200">
        <v>21.803342192762525</v>
      </c>
      <c r="K167" s="200">
        <v>45.672264172207804</v>
      </c>
      <c r="L167" s="200">
        <v>21.803342192762521</v>
      </c>
      <c r="M167" s="200">
        <v>21.803342192762525</v>
      </c>
      <c r="N167" s="200">
        <v>4.712923035644323</v>
      </c>
    </row>
    <row r="168" spans="1:14" x14ac:dyDescent="0.55000000000000004">
      <c r="A168" s="13">
        <v>103</v>
      </c>
      <c r="B168" s="205" t="s">
        <v>320</v>
      </c>
      <c r="C168" s="169">
        <f>C167+C164*CH4_GWP_100yr+C165*N2O_GWP_100yr</f>
        <v>21775.555551014524</v>
      </c>
      <c r="E168" s="204" t="s">
        <v>321</v>
      </c>
      <c r="F168" s="204">
        <f>F156*Fuel_Specs!$B$19/Fuel_Specs!$B$22+F157*Fuel_Specs!$B$20/Fuel_Specs!$B$22+(F164+F167)*CH4_GWP_100yr+F165*N2O_GWP_100yr+F166</f>
        <v>6127.9015056419394</v>
      </c>
      <c r="G168" s="204">
        <f>G156*Fuel_Specs!$B$19/Fuel_Specs!$B$22+G157*Fuel_Specs!$B$20/Fuel_Specs!$B$22+(G164+G167)*CH4_GWP_100yr+G165*N2O_GWP_100yr+G166</f>
        <v>2401.261833415927</v>
      </c>
      <c r="H168" s="204">
        <f>H156*Fuel_Specs!$B$19/Fuel_Specs!$B$22+H157*Fuel_Specs!$B$20/Fuel_Specs!$B$22+(H164+H167)*CH4_GWP_100yr+H165*N2O_GWP_100yr+H166</f>
        <v>478.52313321390125</v>
      </c>
      <c r="I168" s="204">
        <f>I156*Fuel_Specs!$B$19/Fuel_Specs!$B$22+I157*Fuel_Specs!$B$20/Fuel_Specs!$B$22+(I164+I167)*CH4_GWP_100yr+I165*N2O_GWP_100yr+I166</f>
        <v>366.55886184282713</v>
      </c>
      <c r="J168" s="204">
        <f>J156*Fuel_Specs!$B$19/Fuel_Specs!$B$22+J157*Fuel_Specs!$B$20/Fuel_Specs!$B$22+(J164+J167)*CH4_GWP_100yr+J165*N2O_GWP_100yr+J166</f>
        <v>7396.5183531167495</v>
      </c>
      <c r="K168" s="204">
        <f>K156*Fuel_Specs!$B$19/Fuel_Specs!$B$22+K157*Fuel_Specs!$B$20/Fuel_Specs!$B$22+(K164+K167)*CH4_GWP_100yr+K165*N2O_GWP_100yr+K166</f>
        <v>2446.3080580805167</v>
      </c>
      <c r="L168" s="204">
        <f>L156*Fuel_Specs!$B$19/Fuel_Specs!$B$22+L157*Fuel_Specs!$B$20/Fuel_Specs!$B$22+(L164+L167)*CH4_GWP_100yr+L165*N2O_GWP_100yr+L166</f>
        <v>649.7395973443231</v>
      </c>
      <c r="M168" s="204">
        <f>M156*Fuel_Specs!$B$19/Fuel_Specs!$B$22+M157*Fuel_Specs!$B$20/Fuel_Specs!$B$22+(M164+M167)*CH4_GWP_100yr+M165*N2O_GWP_100yr+M166</f>
        <v>1231.3905260942827</v>
      </c>
      <c r="N168" s="204">
        <f>N156*Fuel_Specs!$B$19/Fuel_Specs!$B$22+N157*Fuel_Specs!$B$20/Fuel_Specs!$B$22+(N164+N167)*CH4_GWP_100yr+N165*N2O_GWP_100yr+N166</f>
        <v>366.55886184282713</v>
      </c>
    </row>
    <row r="170" spans="1:14" x14ac:dyDescent="0.55000000000000004">
      <c r="D170" s="221" t="s">
        <v>366</v>
      </c>
    </row>
    <row r="171" spans="1:14" x14ac:dyDescent="0.55000000000000004">
      <c r="B171" s="170" t="s">
        <v>367</v>
      </c>
      <c r="C171" s="206">
        <f>(F168*G155+G168+H168)*I155*J155*K155*L155*M155*N155</f>
        <v>9170.8326093443848</v>
      </c>
      <c r="D171" s="206"/>
    </row>
    <row r="172" spans="1:14" x14ac:dyDescent="0.55000000000000004">
      <c r="B172" s="170" t="s">
        <v>388</v>
      </c>
      <c r="C172" s="206">
        <f>I168*J155*K155*L155*M155*N155</f>
        <v>373.11267880205162</v>
      </c>
      <c r="D172" s="220">
        <f>$I$155*$J$155*$K$155*$L$155*$M$155*$N$155</f>
        <v>1.0181118800676319</v>
      </c>
    </row>
    <row r="173" spans="1:14" x14ac:dyDescent="0.55000000000000004">
      <c r="B173" s="170" t="s">
        <v>389</v>
      </c>
      <c r="C173" s="206">
        <f>J168*K155*L155*M155*N155</f>
        <v>7521.2039469757083</v>
      </c>
      <c r="D173" s="220">
        <f>$J$155*$K$155*$L$155*$M$155*$N$155</f>
        <v>1.017879303002732</v>
      </c>
    </row>
    <row r="174" spans="1:14" x14ac:dyDescent="0.55000000000000004">
      <c r="B174" s="170" t="s">
        <v>62</v>
      </c>
      <c r="C174" s="206">
        <f>K168*L155*M155*N155</f>
        <v>2461.6343539934132</v>
      </c>
      <c r="D174" s="220">
        <f>$K$155*$L$155*$M$155*$N$155</f>
        <v>1.0168573358310424</v>
      </c>
    </row>
    <row r="175" spans="1:14" x14ac:dyDescent="0.55000000000000004">
      <c r="B175" s="170" t="s">
        <v>63</v>
      </c>
      <c r="C175" s="206">
        <f>L168*M155*N155</f>
        <v>650.54121133520425</v>
      </c>
      <c r="D175" s="220">
        <f>$L$155*$M$155*$N$155</f>
        <v>1.0062650719161357</v>
      </c>
    </row>
    <row r="176" spans="1:14" x14ac:dyDescent="0.55000000000000004">
      <c r="B176" s="170" t="s">
        <v>64</v>
      </c>
      <c r="C176" s="206">
        <f>M168*N155</f>
        <v>1231.6718887209317</v>
      </c>
      <c r="D176" s="220">
        <f>$M$155*$N$155</f>
        <v>1.0012337465565551</v>
      </c>
    </row>
    <row r="177" spans="1:14" x14ac:dyDescent="0.55000000000000004">
      <c r="B177" s="170" t="s">
        <v>65</v>
      </c>
      <c r="C177" s="206">
        <f>N168</f>
        <v>366.55886184282713</v>
      </c>
      <c r="D177" s="220">
        <f>$N$155</f>
        <v>1.0002284917909361</v>
      </c>
    </row>
    <row r="178" spans="1:14" x14ac:dyDescent="0.55000000000000004">
      <c r="B178" s="170" t="s">
        <v>96</v>
      </c>
      <c r="C178" s="206">
        <f>SUM(C171:C177)</f>
        <v>21775.55555101452</v>
      </c>
    </row>
    <row r="179" spans="1:14" x14ac:dyDescent="0.55000000000000004">
      <c r="B179" s="207"/>
      <c r="C179" s="207"/>
    </row>
    <row r="180" spans="1:14" x14ac:dyDescent="0.55000000000000004">
      <c r="A180" s="208" t="s">
        <v>466</v>
      </c>
      <c r="B180" s="209"/>
      <c r="C180" s="209"/>
      <c r="D180" s="209"/>
      <c r="E180" s="209"/>
      <c r="F180" s="209"/>
      <c r="G180" s="209"/>
      <c r="H180" s="209"/>
      <c r="I180" s="209"/>
      <c r="J180" s="209"/>
      <c r="K180" s="210"/>
      <c r="L180" s="211"/>
      <c r="M180" s="209"/>
      <c r="N180" s="209"/>
    </row>
    <row r="181" spans="1:14" x14ac:dyDescent="0.55000000000000004">
      <c r="C181" t="s">
        <v>391</v>
      </c>
    </row>
    <row r="182" spans="1:14" x14ac:dyDescent="0.55000000000000004">
      <c r="B182" s="14"/>
      <c r="C182" s="14" t="s">
        <v>263</v>
      </c>
      <c r="F182" s="14" t="s">
        <v>371</v>
      </c>
      <c r="G182" s="14" t="s">
        <v>372</v>
      </c>
      <c r="H182" s="14" t="s">
        <v>373</v>
      </c>
      <c r="I182" s="14" t="s">
        <v>305</v>
      </c>
      <c r="J182" s="14" t="s">
        <v>374</v>
      </c>
      <c r="K182" s="14" t="s">
        <v>375</v>
      </c>
      <c r="L182" s="14" t="s">
        <v>376</v>
      </c>
      <c r="M182" s="14" t="s">
        <v>377</v>
      </c>
      <c r="N182" s="14" t="s">
        <v>378</v>
      </c>
    </row>
    <row r="183" spans="1:14" ht="27" customHeight="1" x14ac:dyDescent="0.55000000000000004">
      <c r="B183" s="37"/>
      <c r="C183" s="563" t="s">
        <v>346</v>
      </c>
      <c r="E183" s="37"/>
      <c r="F183" s="555" t="s">
        <v>379</v>
      </c>
      <c r="G183" s="555" t="s">
        <v>380</v>
      </c>
      <c r="H183" s="555" t="s">
        <v>381</v>
      </c>
      <c r="I183" s="555" t="s">
        <v>382</v>
      </c>
      <c r="J183" s="555" t="s">
        <v>383</v>
      </c>
      <c r="K183" s="555" t="s">
        <v>384</v>
      </c>
      <c r="L183" s="557" t="s">
        <v>385</v>
      </c>
      <c r="M183" s="555" t="s">
        <v>386</v>
      </c>
      <c r="N183" s="555" t="s">
        <v>387</v>
      </c>
    </row>
    <row r="184" spans="1:14" ht="27" customHeight="1" x14ac:dyDescent="0.55000000000000004">
      <c r="B184" s="38"/>
      <c r="C184" s="564"/>
      <c r="E184" s="42" t="s">
        <v>334</v>
      </c>
      <c r="F184" s="556"/>
      <c r="G184" s="556"/>
      <c r="H184" s="556"/>
      <c r="I184" s="556"/>
      <c r="J184" s="556"/>
      <c r="K184" s="556"/>
      <c r="L184" s="558"/>
      <c r="M184" s="556"/>
      <c r="N184" s="556"/>
    </row>
    <row r="185" spans="1:14" x14ac:dyDescent="0.55000000000000004">
      <c r="A185" s="13">
        <v>84</v>
      </c>
      <c r="B185" s="38" t="s">
        <v>337</v>
      </c>
      <c r="C185" s="38"/>
      <c r="D185" s="13">
        <v>25</v>
      </c>
      <c r="E185" s="38" t="s">
        <v>337</v>
      </c>
      <c r="F185" s="38"/>
      <c r="G185" s="38">
        <v>1</v>
      </c>
      <c r="H185" s="38"/>
      <c r="I185" s="38">
        <v>1.0001840737612597</v>
      </c>
      <c r="J185" s="38">
        <v>1.0010050251256282</v>
      </c>
      <c r="K185" s="38">
        <v>1.0105263157894737</v>
      </c>
      <c r="L185" s="38">
        <v>1.0050251256281406</v>
      </c>
      <c r="M185" s="38">
        <v>1.0010050251256282</v>
      </c>
      <c r="N185" s="38">
        <v>1.0001840737612597</v>
      </c>
    </row>
    <row r="186" spans="1:14" x14ac:dyDescent="0.55000000000000004">
      <c r="A186" s="13">
        <v>91</v>
      </c>
      <c r="B186" s="38" t="s">
        <v>185</v>
      </c>
      <c r="C186" s="147">
        <v>10.107219022686829</v>
      </c>
      <c r="D186" s="13">
        <v>56</v>
      </c>
      <c r="E186" s="38" t="s">
        <v>354</v>
      </c>
      <c r="F186" s="200">
        <v>2.7495887623837256</v>
      </c>
      <c r="G186" s="200">
        <v>0.26981737492492563</v>
      </c>
      <c r="H186" s="200">
        <v>4.4000000000000004</v>
      </c>
      <c r="I186" s="200">
        <v>0.28598768522265305</v>
      </c>
      <c r="J186" s="200">
        <v>0.84088666037644166</v>
      </c>
      <c r="K186" s="200">
        <v>1.0527611613073589</v>
      </c>
      <c r="L186" s="200"/>
      <c r="M186" s="200">
        <v>6.2683589818693944E-2</v>
      </c>
      <c r="N186" s="200">
        <v>0.28598768522265305</v>
      </c>
    </row>
    <row r="187" spans="1:14" x14ac:dyDescent="0.55000000000000004">
      <c r="A187" s="13">
        <v>92</v>
      </c>
      <c r="B187" s="38" t="s">
        <v>186</v>
      </c>
      <c r="C187" s="147">
        <v>27.057092965056885</v>
      </c>
      <c r="D187" s="13">
        <v>57</v>
      </c>
      <c r="E187" s="38" t="s">
        <v>355</v>
      </c>
      <c r="F187" s="200">
        <v>13.469583993931924</v>
      </c>
      <c r="G187" s="200">
        <v>1.4481717059969776</v>
      </c>
      <c r="H187" s="200">
        <v>1.2</v>
      </c>
      <c r="I187" s="200">
        <v>1.4601002142081014</v>
      </c>
      <c r="J187" s="200">
        <v>5.5062529641803035</v>
      </c>
      <c r="K187" s="200">
        <v>1.8055761414778602</v>
      </c>
      <c r="L187" s="200"/>
      <c r="M187" s="200">
        <v>0.28694639187269466</v>
      </c>
      <c r="N187" s="200">
        <v>1.4601002142081014</v>
      </c>
    </row>
    <row r="188" spans="1:14" x14ac:dyDescent="0.55000000000000004">
      <c r="A188" s="13">
        <v>93</v>
      </c>
      <c r="B188" s="38" t="s">
        <v>187</v>
      </c>
      <c r="C188" s="147">
        <v>56.072423279837054</v>
      </c>
      <c r="D188" s="13">
        <v>58</v>
      </c>
      <c r="E188" s="38" t="s">
        <v>356</v>
      </c>
      <c r="F188" s="200">
        <v>15.633529833382203</v>
      </c>
      <c r="G188" s="200">
        <v>2.1754547219035598</v>
      </c>
      <c r="H188" s="200">
        <v>1.546</v>
      </c>
      <c r="I188" s="200">
        <v>1.7949492610602862</v>
      </c>
      <c r="J188" s="200">
        <v>6.1216963813211294</v>
      </c>
      <c r="K188" s="200">
        <v>25.081468139066097</v>
      </c>
      <c r="L188" s="200"/>
      <c r="M188" s="200">
        <v>1.284387452005149</v>
      </c>
      <c r="N188" s="200">
        <v>1.7949492610602862</v>
      </c>
    </row>
    <row r="189" spans="1:14" x14ac:dyDescent="0.55000000000000004">
      <c r="A189" s="13">
        <v>94</v>
      </c>
      <c r="B189" s="38" t="s">
        <v>312</v>
      </c>
      <c r="C189" s="147">
        <v>2.1069886083736784</v>
      </c>
      <c r="D189" s="13">
        <v>59</v>
      </c>
      <c r="E189" s="38" t="s">
        <v>357</v>
      </c>
      <c r="F189" s="200">
        <v>0.22575895030094623</v>
      </c>
      <c r="G189" s="200">
        <v>0.15741131996320379</v>
      </c>
      <c r="H189" s="200">
        <v>0.02</v>
      </c>
      <c r="I189" s="200">
        <v>8.4259917911719568E-3</v>
      </c>
      <c r="J189" s="200">
        <v>0.4478132406216711</v>
      </c>
      <c r="K189" s="200">
        <v>1.1323962056724843</v>
      </c>
      <c r="L189" s="200"/>
      <c r="M189" s="200">
        <v>8.4752663723663121E-2</v>
      </c>
      <c r="N189" s="200">
        <v>8.4259917911719568E-3</v>
      </c>
    </row>
    <row r="190" spans="1:14" x14ac:dyDescent="0.55000000000000004">
      <c r="A190" s="13">
        <v>95</v>
      </c>
      <c r="B190" s="38" t="s">
        <v>313</v>
      </c>
      <c r="C190" s="147">
        <v>1.9558672326828423</v>
      </c>
      <c r="D190" s="13">
        <v>60</v>
      </c>
      <c r="E190" s="38" t="s">
        <v>358</v>
      </c>
      <c r="F190" s="200">
        <v>0.22375487911184391</v>
      </c>
      <c r="G190" s="200">
        <v>0.14699088021587767</v>
      </c>
      <c r="H190" s="200">
        <v>0.01</v>
      </c>
      <c r="I190" s="200">
        <v>7.7345266697298612E-3</v>
      </c>
      <c r="J190" s="200">
        <v>0.42779467041541486</v>
      </c>
      <c r="K190" s="200">
        <v>1.0417382945260913</v>
      </c>
      <c r="L190" s="200"/>
      <c r="M190" s="200">
        <v>6.9434967161877303E-2</v>
      </c>
      <c r="N190" s="200">
        <v>7.7345266697298612E-3</v>
      </c>
    </row>
    <row r="191" spans="1:14" x14ac:dyDescent="0.55000000000000004">
      <c r="A191" s="13">
        <v>96</v>
      </c>
      <c r="B191" s="38" t="s">
        <v>314</v>
      </c>
      <c r="C191" s="147">
        <v>22.896380346221932</v>
      </c>
      <c r="D191" s="13">
        <v>61</v>
      </c>
      <c r="E191" s="38" t="s">
        <v>359</v>
      </c>
      <c r="F191" s="200">
        <v>0.43345286617495987</v>
      </c>
      <c r="G191" s="200">
        <v>0.77142527021423168</v>
      </c>
      <c r="H191" s="200">
        <v>10.089</v>
      </c>
      <c r="I191" s="200">
        <v>6.9155097328199286E-2</v>
      </c>
      <c r="J191" s="200">
        <v>2.1176345647244741</v>
      </c>
      <c r="K191" s="200">
        <v>8.1155627137277833</v>
      </c>
      <c r="L191" s="200"/>
      <c r="M191" s="200">
        <v>0.93997226322986327</v>
      </c>
      <c r="N191" s="200">
        <v>6.9155097328199286E-2</v>
      </c>
    </row>
    <row r="192" spans="1:14" x14ac:dyDescent="0.55000000000000004">
      <c r="A192" s="13">
        <v>97</v>
      </c>
      <c r="B192" s="38" t="s">
        <v>188</v>
      </c>
      <c r="C192" s="147">
        <v>0.26242704486504659</v>
      </c>
      <c r="D192" s="13">
        <v>62</v>
      </c>
      <c r="E192" s="38" t="s">
        <v>360</v>
      </c>
      <c r="F192" s="200">
        <v>4.9003102140789949E-2</v>
      </c>
      <c r="G192" s="200">
        <v>2.5794021066081158E-2</v>
      </c>
      <c r="H192" s="200">
        <v>0</v>
      </c>
      <c r="I192" s="200">
        <v>1.111830076681421E-3</v>
      </c>
      <c r="J192" s="200">
        <v>2.1535661857076376E-2</v>
      </c>
      <c r="K192" s="200">
        <v>0.15594703822883632</v>
      </c>
      <c r="L192" s="200"/>
      <c r="M192" s="200">
        <v>5.2227062205378013E-3</v>
      </c>
      <c r="N192" s="200">
        <v>1.111830076681421E-3</v>
      </c>
    </row>
    <row r="193" spans="1:14" x14ac:dyDescent="0.55000000000000004">
      <c r="A193" s="13">
        <v>98</v>
      </c>
      <c r="B193" s="38" t="s">
        <v>189</v>
      </c>
      <c r="C193" s="147">
        <v>0.82773713477747257</v>
      </c>
      <c r="D193" s="13">
        <v>63</v>
      </c>
      <c r="E193" s="38" t="s">
        <v>361</v>
      </c>
      <c r="F193" s="200">
        <v>9.1918247276009432E-2</v>
      </c>
      <c r="G193" s="200">
        <v>5.9610865921239445E-2</v>
      </c>
      <c r="H193" s="200">
        <v>0</v>
      </c>
      <c r="I193" s="200">
        <v>2.8123536843617024E-3</v>
      </c>
      <c r="J193" s="200">
        <v>0.24206683201492701</v>
      </c>
      <c r="K193" s="200">
        <v>0.40555667423154196</v>
      </c>
      <c r="L193" s="200"/>
      <c r="M193" s="200">
        <v>1.3583986229499573E-2</v>
      </c>
      <c r="N193" s="200">
        <v>2.8123536843617024E-3</v>
      </c>
    </row>
    <row r="194" spans="1:14" x14ac:dyDescent="0.55000000000000004">
      <c r="A194" s="13">
        <v>99</v>
      </c>
      <c r="B194" s="38" t="s">
        <v>179</v>
      </c>
      <c r="C194" s="147">
        <v>394.96873407445548</v>
      </c>
      <c r="D194" s="13">
        <v>64</v>
      </c>
      <c r="E194" s="38" t="s">
        <v>362</v>
      </c>
      <c r="F194" s="200">
        <v>16.367408618277629</v>
      </c>
      <c r="G194" s="200">
        <v>6.729442058111724</v>
      </c>
      <c r="H194" s="200"/>
      <c r="I194" s="200">
        <v>1.7986755262111507</v>
      </c>
      <c r="J194" s="200">
        <v>23.019517431001191</v>
      </c>
      <c r="K194" s="200">
        <v>3.5916605011616629</v>
      </c>
      <c r="L194" s="200"/>
      <c r="M194" s="200">
        <v>0.60298420160797539</v>
      </c>
      <c r="N194" s="200">
        <v>1.7986755262111507</v>
      </c>
    </row>
    <row r="195" spans="1:14" x14ac:dyDescent="0.55000000000000004">
      <c r="A195" s="13">
        <v>100</v>
      </c>
      <c r="B195" s="38" t="s">
        <v>180</v>
      </c>
      <c r="C195" s="147">
        <v>0.2957742016006778</v>
      </c>
      <c r="D195" s="13">
        <v>65</v>
      </c>
      <c r="E195" s="38" t="s">
        <v>363</v>
      </c>
      <c r="F195" s="200">
        <v>1.1979388461812863E-2</v>
      </c>
      <c r="G195" s="200">
        <v>1.887331869483122E-2</v>
      </c>
      <c r="H195" s="200"/>
      <c r="I195" s="200">
        <v>0.10012308753725141</v>
      </c>
      <c r="J195" s="200">
        <v>2.8729016639554239E-2</v>
      </c>
      <c r="K195" s="200">
        <v>2.5954255355506387E-2</v>
      </c>
      <c r="L195" s="200"/>
      <c r="M195" s="200">
        <v>7.0046991050326506E-3</v>
      </c>
      <c r="N195" s="200">
        <v>0.10012308753725141</v>
      </c>
    </row>
    <row r="196" spans="1:14" x14ac:dyDescent="0.55000000000000004">
      <c r="A196" s="13">
        <v>101</v>
      </c>
      <c r="B196" s="38" t="s">
        <v>178</v>
      </c>
      <c r="C196" s="146">
        <v>13566.336417956321</v>
      </c>
      <c r="D196" s="13">
        <v>66</v>
      </c>
      <c r="E196" s="38" t="s">
        <v>364</v>
      </c>
      <c r="F196" s="200">
        <v>2601.1869402186298</v>
      </c>
      <c r="G196" s="200">
        <v>2095.5233802964281</v>
      </c>
      <c r="H196" s="200">
        <v>462.92408559485364</v>
      </c>
      <c r="I196" s="200">
        <v>149.3366853703518</v>
      </c>
      <c r="J196" s="200">
        <v>6346.3588001707485</v>
      </c>
      <c r="K196" s="200">
        <v>990.06251064526236</v>
      </c>
      <c r="L196" s="200"/>
      <c r="M196" s="200">
        <v>563.00158461596322</v>
      </c>
      <c r="N196" s="200">
        <v>149.3366853703518</v>
      </c>
    </row>
    <row r="197" spans="1:14" x14ac:dyDescent="0.55000000000000004">
      <c r="A197" s="13">
        <v>102</v>
      </c>
      <c r="B197" s="38" t="s">
        <v>319</v>
      </c>
      <c r="C197" s="168">
        <f>C186*Fuel_Specs!$B$19/Fuel_Specs!$B$22+C187*Fuel_Specs!$B$20/Fuel_Specs!$B$22+C196</f>
        <v>13640.355539522117</v>
      </c>
      <c r="D197" s="13">
        <v>67</v>
      </c>
      <c r="E197" s="38" t="s">
        <v>365</v>
      </c>
      <c r="F197" s="200">
        <v>190.01958245249233</v>
      </c>
      <c r="G197" s="200">
        <v>26.850593172634785</v>
      </c>
      <c r="H197" s="200"/>
      <c r="I197" s="200">
        <v>3.7967467721485839</v>
      </c>
      <c r="J197" s="200">
        <v>21.803342192762525</v>
      </c>
      <c r="K197" s="200">
        <v>45.672264172207804</v>
      </c>
      <c r="L197" s="200">
        <v>21.803342192762521</v>
      </c>
      <c r="M197" s="200">
        <v>21.803342192762525</v>
      </c>
      <c r="N197" s="200">
        <v>3.7967467721485839</v>
      </c>
    </row>
    <row r="198" spans="1:14" x14ac:dyDescent="0.55000000000000004">
      <c r="A198" s="13">
        <v>103</v>
      </c>
      <c r="B198" s="42" t="s">
        <v>320</v>
      </c>
      <c r="C198" s="169">
        <f>C197+C194*CH4_GWP_100yr+C195*N2O_GWP_100yr</f>
        <v>25491.170171977876</v>
      </c>
      <c r="E198" s="204" t="s">
        <v>321</v>
      </c>
      <c r="F198" s="204">
        <f>F186*Fuel_Specs!$B$19/Fuel_Specs!$B$22+F187*Fuel_Specs!$B$20/Fuel_Specs!$B$22+(F194+F197)*CH4_GWP_100yr+F195*N2O_GWP_100yr+F196</f>
        <v>8784.5256879537337</v>
      </c>
      <c r="G198" s="204">
        <f>G186*Fuel_Specs!$B$19/Fuel_Specs!$B$22+G187*Fuel_Specs!$B$20/Fuel_Specs!$B$22+(G194+G197)*CH4_GWP_100yr+G195*N2O_GWP_100yr+G196</f>
        <v>3104.4774753900174</v>
      </c>
      <c r="H198" s="204">
        <f>H186*Fuel_Specs!$B$19/Fuel_Specs!$B$22+H187*Fuel_Specs!$B$20/Fuel_Specs!$B$22+(H194+H197)*CH4_GWP_100yr+H195*N2O_GWP_100yr+H196</f>
        <v>478.52313321390125</v>
      </c>
      <c r="I198" s="204">
        <f>I186*Fuel_Specs!$B$19/Fuel_Specs!$B$22+I187*Fuel_Specs!$B$20/Fuel_Specs!$B$22+(I194+I197)*CH4_GWP_100yr+I195*N2O_GWP_100yr+I196</f>
        <v>346.59964423850772</v>
      </c>
      <c r="J198" s="204">
        <f>J186*Fuel_Specs!$B$19/Fuel_Specs!$B$22+J187*Fuel_Specs!$B$20/Fuel_Specs!$B$22+(J194+J197)*CH4_GWP_100yr+J195*N2O_GWP_100yr+J196</f>
        <v>7701.1964851557714</v>
      </c>
      <c r="K198" s="204">
        <f>K186*Fuel_Specs!$B$19/Fuel_Specs!$B$22+K187*Fuel_Specs!$B$20/Fuel_Specs!$B$22+(K194+K197)*CH4_GWP_100yr+K195*N2O_GWP_100yr+K196</f>
        <v>2471.3314171797419</v>
      </c>
      <c r="L198" s="204">
        <f>L186*Fuel_Specs!$B$19/Fuel_Specs!$B$22+L187*Fuel_Specs!$B$20/Fuel_Specs!$B$22+(L194+L197)*CH4_GWP_100yr+L195*N2O_GWP_100yr+L196</f>
        <v>649.7395973443231</v>
      </c>
      <c r="M198" s="204">
        <f>M186*Fuel_Specs!$B$19/Fuel_Specs!$B$22+M187*Fuel_Specs!$B$20/Fuel_Specs!$B$22+(M194+M197)*CH4_GWP_100yr+M195*N2O_GWP_100yr+M196</f>
        <v>1233.2686736374699</v>
      </c>
      <c r="N198" s="204">
        <f>N186*Fuel_Specs!$B$19/Fuel_Specs!$B$22+N187*Fuel_Specs!$B$20/Fuel_Specs!$B$22+(N194+N197)*CH4_GWP_100yr+N195*N2O_GWP_100yr+N196</f>
        <v>346.59964423850772</v>
      </c>
    </row>
    <row r="200" spans="1:14" x14ac:dyDescent="0.55000000000000004">
      <c r="D200" s="221" t="s">
        <v>366</v>
      </c>
    </row>
    <row r="201" spans="1:14" x14ac:dyDescent="0.55000000000000004">
      <c r="B201" s="170" t="s">
        <v>367</v>
      </c>
      <c r="C201" s="206">
        <f>(F198*G185+G198+H198)*I185*J185*K185*L185*M185*N185</f>
        <v>12590.407148431554</v>
      </c>
      <c r="D201" s="206"/>
    </row>
    <row r="202" spans="1:14" x14ac:dyDescent="0.55000000000000004">
      <c r="B202" s="170" t="s">
        <v>388</v>
      </c>
      <c r="C202" s="206">
        <f>I198*J185*K185*L185*M185*N185</f>
        <v>352.78093734821721</v>
      </c>
      <c r="D202" s="220">
        <f>$I$185*$J$185*$K$185*$L$185*$M$185*$N$185</f>
        <v>1.0180214576892341</v>
      </c>
    </row>
    <row r="203" spans="1:14" x14ac:dyDescent="0.55000000000000004">
      <c r="B203" s="170" t="s">
        <v>389</v>
      </c>
      <c r="C203" s="206">
        <f>J198*K185*L185*M185*N185</f>
        <v>7830.6703816707823</v>
      </c>
      <c r="D203" s="220">
        <f>$J$185*$K$185*$L$185*$M$185*$N$185</f>
        <v>1.0178341011378993</v>
      </c>
    </row>
    <row r="204" spans="1:14" x14ac:dyDescent="0.55000000000000004">
      <c r="B204" s="170" t="s">
        <v>62</v>
      </c>
      <c r="C204" s="206">
        <f>K198*L185*M185*N185</f>
        <v>2486.70405207063</v>
      </c>
      <c r="D204" s="220">
        <f>$K$185*$L$185*$M$185*$N$185</f>
        <v>1.0168121793496083</v>
      </c>
    </row>
    <row r="205" spans="1:14" x14ac:dyDescent="0.55000000000000004">
      <c r="B205" s="170" t="s">
        <v>63</v>
      </c>
      <c r="C205" s="206">
        <f>L198*M185*N185</f>
        <v>650.51232217730887</v>
      </c>
      <c r="D205" s="220">
        <f>$L$185*$M$185*$N$185</f>
        <v>1.0062203858147165</v>
      </c>
    </row>
    <row r="206" spans="1:14" x14ac:dyDescent="0.55000000000000004">
      <c r="B206" s="170" t="s">
        <v>64</v>
      </c>
      <c r="C206" s="206">
        <f>M198*N185</f>
        <v>1233.4956860408702</v>
      </c>
      <c r="D206" s="220">
        <f>$M$185*$N$185</f>
        <v>1.0011892838856429</v>
      </c>
    </row>
    <row r="207" spans="1:14" x14ac:dyDescent="0.55000000000000004">
      <c r="B207" s="170" t="s">
        <v>65</v>
      </c>
      <c r="C207" s="206">
        <f>N198</f>
        <v>346.59964423850772</v>
      </c>
      <c r="D207" s="220">
        <f>$N$185</f>
        <v>1.0001840737612597</v>
      </c>
    </row>
    <row r="208" spans="1:14" x14ac:dyDescent="0.55000000000000004">
      <c r="B208" s="170" t="s">
        <v>96</v>
      </c>
      <c r="C208" s="206">
        <f>SUM(C201:C207)</f>
        <v>25491.170171977872</v>
      </c>
    </row>
    <row r="212" spans="1:6" ht="15.75" customHeight="1" x14ac:dyDescent="0.55000000000000004">
      <c r="A212" s="35" t="s">
        <v>392</v>
      </c>
      <c r="B212" s="35"/>
      <c r="C212" s="35"/>
      <c r="D212" s="35"/>
      <c r="E212" s="35"/>
      <c r="F212" s="35"/>
    </row>
    <row r="213" spans="1:6" x14ac:dyDescent="0.55000000000000004">
      <c r="C213" s="14" t="s">
        <v>268</v>
      </c>
      <c r="D213" s="14" t="s">
        <v>227</v>
      </c>
      <c r="E213" s="14" t="s">
        <v>393</v>
      </c>
      <c r="F213" s="14" t="s">
        <v>394</v>
      </c>
    </row>
    <row r="214" spans="1:6" x14ac:dyDescent="0.55000000000000004">
      <c r="B214" s="37"/>
      <c r="C214" s="148" t="s">
        <v>395</v>
      </c>
      <c r="D214" s="149"/>
      <c r="E214" s="148" t="s">
        <v>396</v>
      </c>
      <c r="F214" s="149"/>
    </row>
    <row r="215" spans="1:6" x14ac:dyDescent="0.55000000000000004">
      <c r="B215" s="38"/>
      <c r="C215" s="150" t="s">
        <v>397</v>
      </c>
      <c r="D215" s="151" t="s">
        <v>398</v>
      </c>
      <c r="E215" s="150" t="s">
        <v>399</v>
      </c>
      <c r="F215" s="151" t="s">
        <v>398</v>
      </c>
    </row>
    <row r="216" spans="1:6" x14ac:dyDescent="0.55000000000000004">
      <c r="A216" s="13">
        <v>554</v>
      </c>
      <c r="B216" s="38" t="s">
        <v>337</v>
      </c>
      <c r="C216" s="3"/>
      <c r="D216" s="41">
        <v>1.0005044983835341</v>
      </c>
      <c r="E216" s="3"/>
      <c r="F216" s="41">
        <v>1.0005044983835341</v>
      </c>
    </row>
    <row r="217" spans="1:6" x14ac:dyDescent="0.55000000000000004">
      <c r="A217" s="13">
        <v>561</v>
      </c>
      <c r="B217" s="38" t="s">
        <v>185</v>
      </c>
      <c r="C217" s="153">
        <v>5.0348813633364893</v>
      </c>
      <c r="D217" s="154">
        <v>55.321806283069925</v>
      </c>
      <c r="E217" s="153">
        <v>176.44332783274569</v>
      </c>
      <c r="F217" s="154">
        <v>54.020624250675269</v>
      </c>
    </row>
    <row r="218" spans="1:6" x14ac:dyDescent="0.55000000000000004">
      <c r="A218" s="13">
        <v>562</v>
      </c>
      <c r="B218" s="38" t="s">
        <v>186</v>
      </c>
      <c r="C218" s="153">
        <v>19.879274504406599</v>
      </c>
      <c r="D218" s="154">
        <v>20.896598497316607</v>
      </c>
      <c r="E218" s="153">
        <v>2203.3744797696286</v>
      </c>
      <c r="F218" s="154">
        <v>25.235540307121401</v>
      </c>
    </row>
    <row r="219" spans="1:6" x14ac:dyDescent="0.55000000000000004">
      <c r="A219" s="13">
        <v>563</v>
      </c>
      <c r="B219" s="38" t="s">
        <v>187</v>
      </c>
      <c r="C219" s="153">
        <v>54.27642336465891</v>
      </c>
      <c r="D219" s="154">
        <v>40.352634868806824</v>
      </c>
      <c r="E219" s="153">
        <v>146.24600069736158</v>
      </c>
      <c r="F219" s="154">
        <v>187.27349060170803</v>
      </c>
    </row>
    <row r="220" spans="1:6" x14ac:dyDescent="0.55000000000000004">
      <c r="A220" s="13">
        <v>564</v>
      </c>
      <c r="B220" s="38" t="s">
        <v>312</v>
      </c>
      <c r="C220" s="153">
        <v>2.8687470528767074</v>
      </c>
      <c r="D220" s="154">
        <v>13.753041744392704</v>
      </c>
      <c r="E220" s="153">
        <v>189.21452031760936</v>
      </c>
      <c r="F220" s="154">
        <v>123.48641497491566</v>
      </c>
    </row>
    <row r="221" spans="1:6" x14ac:dyDescent="0.55000000000000004">
      <c r="A221" s="13">
        <v>565</v>
      </c>
      <c r="B221" s="38" t="s">
        <v>313</v>
      </c>
      <c r="C221" s="153">
        <v>2.4013823732308621</v>
      </c>
      <c r="D221" s="154">
        <v>4.0589769850617143</v>
      </c>
      <c r="E221" s="153">
        <v>66.052883777563565</v>
      </c>
      <c r="F221" s="154">
        <v>61.109276038143271</v>
      </c>
    </row>
    <row r="222" spans="1:6" x14ac:dyDescent="0.55000000000000004">
      <c r="A222" s="13">
        <v>566</v>
      </c>
      <c r="B222" s="38" t="s">
        <v>314</v>
      </c>
      <c r="C222" s="153">
        <v>11.404089285354306</v>
      </c>
      <c r="D222" s="154">
        <v>13.708607992529952</v>
      </c>
      <c r="E222" s="153">
        <v>17.561379093125883</v>
      </c>
      <c r="F222" s="154">
        <v>64.251397180590857</v>
      </c>
    </row>
    <row r="223" spans="1:6" x14ac:dyDescent="0.55000000000000004">
      <c r="A223" s="13">
        <v>567</v>
      </c>
      <c r="B223" s="38" t="s">
        <v>188</v>
      </c>
      <c r="C223" s="153">
        <v>0.47466881510588133</v>
      </c>
      <c r="D223" s="154">
        <v>0.29729489032454365</v>
      </c>
      <c r="E223" s="153">
        <v>9.9785074505846119</v>
      </c>
      <c r="F223" s="154">
        <v>8.2631529195419162</v>
      </c>
    </row>
    <row r="224" spans="1:6" x14ac:dyDescent="0.55000000000000004">
      <c r="A224" s="13">
        <v>568</v>
      </c>
      <c r="B224" s="38" t="s">
        <v>189</v>
      </c>
      <c r="C224" s="153">
        <v>0.42223489292302691</v>
      </c>
      <c r="D224" s="154">
        <v>0.89000423537789319</v>
      </c>
      <c r="E224" s="153">
        <v>21.76951150592129</v>
      </c>
      <c r="F224" s="154">
        <v>19.788668289834867</v>
      </c>
    </row>
    <row r="225" spans="1:6" x14ac:dyDescent="0.55000000000000004">
      <c r="A225" s="13">
        <v>569</v>
      </c>
      <c r="B225" s="38" t="s">
        <v>179</v>
      </c>
      <c r="C225" s="153">
        <v>27.894504112855572</v>
      </c>
      <c r="D225" s="154">
        <v>147.21986820562984</v>
      </c>
      <c r="E225" s="153">
        <v>113.91769764078063</v>
      </c>
      <c r="F225" s="154">
        <v>41.642620047559149</v>
      </c>
    </row>
    <row r="226" spans="1:6" x14ac:dyDescent="0.55000000000000004">
      <c r="A226" s="13">
        <v>570</v>
      </c>
      <c r="B226" s="38" t="s">
        <v>180</v>
      </c>
      <c r="C226" s="153">
        <v>37.815854052054128</v>
      </c>
      <c r="D226" s="154">
        <v>0.44944832903484661</v>
      </c>
      <c r="E226" s="153">
        <v>40.013783241319409</v>
      </c>
      <c r="F226" s="154">
        <v>5.0216040018676145</v>
      </c>
    </row>
    <row r="227" spans="1:6" x14ac:dyDescent="0.55000000000000004">
      <c r="A227" s="13">
        <v>571</v>
      </c>
      <c r="B227" s="38" t="s">
        <v>178</v>
      </c>
      <c r="C227" s="48">
        <v>16328.834385263972</v>
      </c>
      <c r="D227" s="152">
        <v>30228.31907513037</v>
      </c>
      <c r="E227" s="48">
        <v>10269.106189117219</v>
      </c>
      <c r="F227" s="152">
        <v>5982.1003454828005</v>
      </c>
    </row>
    <row r="228" spans="1:6" x14ac:dyDescent="0.55000000000000004">
      <c r="A228" s="13">
        <v>572</v>
      </c>
      <c r="B228" s="38" t="s">
        <v>319</v>
      </c>
      <c r="C228" s="168">
        <f>C217*Fuel_Specs!$B$19/Fuel_Specs!$B$22+C218*Fuel_Specs!$B$20/Fuel_Specs!$B$22+C227</f>
        <v>16375.7652921152</v>
      </c>
      <c r="D228" s="138">
        <f>D217*Fuel_Specs!$B$19/Fuel_Specs!$B$22+D218*Fuel_Specs!$B$20/Fuel_Specs!$B$22+D227</f>
        <v>30433.57621663696</v>
      </c>
      <c r="E228" s="168">
        <f>E217*Fuel_Specs!$B$19/Fuel_Specs!$B$22+E218*Fuel_Specs!$B$20/Fuel_Specs!$B$22+E227</f>
        <v>14281.466838595836</v>
      </c>
      <c r="F228" s="138">
        <f>F217*Fuel_Specs!$B$19/Fuel_Specs!$B$22+F218*Fuel_Specs!$B$20/Fuel_Specs!$B$22+F227</f>
        <v>6190.1204734514531</v>
      </c>
    </row>
    <row r="229" spans="1:6" x14ac:dyDescent="0.55000000000000004">
      <c r="A229" s="13">
        <v>573</v>
      </c>
      <c r="B229" s="42" t="s">
        <v>320</v>
      </c>
      <c r="C229" s="169">
        <f>C228+C225*CH4_GWP_100yr+C226*N2O_GWP_100yr</f>
        <v>27530.749670889076</v>
      </c>
      <c r="D229" s="139">
        <f>D228+D225*CH4_GWP_100yr+D226*N2O_GWP_100yr</f>
        <v>34943.427682991249</v>
      </c>
      <c r="E229" s="169">
        <f>E228+E225*CH4_GWP_100yr+E226*N2O_GWP_100yr</f>
        <v>28599.977053171297</v>
      </c>
      <c r="F229" s="139">
        <f>F228+F225*CH4_GWP_100yr+F226*N2O_GWP_100yr</f>
        <v>8801.9684433785751</v>
      </c>
    </row>
    <row r="231" spans="1:6" x14ac:dyDescent="0.55000000000000004">
      <c r="B231" s="128" t="s">
        <v>321</v>
      </c>
      <c r="C231" s="129">
        <f>C229*D216+D229</f>
        <v>62488.066572586773</v>
      </c>
      <c r="E231" s="129">
        <f>E229*F216+F229</f>
        <v>37416.374138742307</v>
      </c>
    </row>
    <row r="232" spans="1:6" x14ac:dyDescent="0.55000000000000004">
      <c r="B232" s="128" t="s">
        <v>400</v>
      </c>
      <c r="C232" s="155">
        <f>C231/mmBTU2MJ</f>
        <v>59.227259459853975</v>
      </c>
      <c r="E232" s="155">
        <f>E231/mmBTU2MJ</f>
        <v>35.46388007681518</v>
      </c>
    </row>
    <row r="235" spans="1:6" ht="15.75" customHeight="1" x14ac:dyDescent="0.55000000000000004">
      <c r="A235" s="35" t="s">
        <v>401</v>
      </c>
      <c r="B235" s="35"/>
      <c r="C235" s="35"/>
      <c r="D235" s="35"/>
      <c r="E235" s="35"/>
      <c r="F235" s="35"/>
    </row>
    <row r="238" spans="1:6" x14ac:dyDescent="0.55000000000000004">
      <c r="C238" s="14" t="s">
        <v>402</v>
      </c>
      <c r="D238" s="14" t="s">
        <v>371</v>
      </c>
    </row>
    <row r="239" spans="1:6" x14ac:dyDescent="0.55000000000000004">
      <c r="B239" s="128"/>
      <c r="C239" s="568" t="s">
        <v>403</v>
      </c>
      <c r="D239" s="569"/>
    </row>
    <row r="240" spans="1:6" x14ac:dyDescent="0.55000000000000004">
      <c r="B240" s="128"/>
      <c r="C240" s="40" t="s">
        <v>95</v>
      </c>
      <c r="D240" s="39" t="s">
        <v>39</v>
      </c>
    </row>
    <row r="241" spans="1:4" x14ac:dyDescent="0.55000000000000004">
      <c r="A241" s="13">
        <v>433</v>
      </c>
      <c r="B241" s="38" t="s">
        <v>337</v>
      </c>
      <c r="C241" s="4"/>
      <c r="D241" s="41">
        <v>1.0000389867970996</v>
      </c>
    </row>
    <row r="242" spans="1:4" x14ac:dyDescent="0.55000000000000004">
      <c r="A242" s="13">
        <v>434</v>
      </c>
      <c r="B242" s="159" t="s">
        <v>27</v>
      </c>
      <c r="C242" s="156" t="s">
        <v>404</v>
      </c>
      <c r="D242" s="157" t="s">
        <v>404</v>
      </c>
    </row>
    <row r="243" spans="1:4" x14ac:dyDescent="0.55000000000000004">
      <c r="A243" s="13">
        <v>441</v>
      </c>
      <c r="B243" s="38" t="s">
        <v>185</v>
      </c>
      <c r="C243" s="158">
        <v>2.4077823608080848</v>
      </c>
      <c r="D243" s="154">
        <v>18.841025033531071</v>
      </c>
    </row>
    <row r="244" spans="1:4" x14ac:dyDescent="0.55000000000000004">
      <c r="A244" s="13">
        <v>442</v>
      </c>
      <c r="B244" s="38" t="s">
        <v>186</v>
      </c>
      <c r="C244" s="158">
        <v>10.195260046285227</v>
      </c>
      <c r="D244" s="154">
        <v>7.0641030270175689</v>
      </c>
    </row>
    <row r="245" spans="1:4" x14ac:dyDescent="0.55000000000000004">
      <c r="A245" s="13">
        <v>443</v>
      </c>
      <c r="B245" s="38" t="s">
        <v>187</v>
      </c>
      <c r="C245" s="158">
        <v>13.54833672285061</v>
      </c>
      <c r="D245" s="154">
        <v>19.495804922684481</v>
      </c>
    </row>
    <row r="246" spans="1:4" x14ac:dyDescent="0.55000000000000004">
      <c r="A246" s="13">
        <v>444</v>
      </c>
      <c r="B246" s="38" t="s">
        <v>312</v>
      </c>
      <c r="C246" s="158">
        <v>1.1151838389990474</v>
      </c>
      <c r="D246" s="154">
        <v>1.1193597182371451</v>
      </c>
    </row>
    <row r="247" spans="1:4" x14ac:dyDescent="0.55000000000000004">
      <c r="A247" s="13">
        <v>445</v>
      </c>
      <c r="B247" s="38" t="s">
        <v>313</v>
      </c>
      <c r="C247" s="158">
        <v>0.95298937400687023</v>
      </c>
      <c r="D247" s="154">
        <v>0.88696652481898919</v>
      </c>
    </row>
    <row r="248" spans="1:4" x14ac:dyDescent="0.55000000000000004">
      <c r="A248" s="13">
        <v>446</v>
      </c>
      <c r="B248" s="38" t="s">
        <v>314</v>
      </c>
      <c r="C248" s="158">
        <v>6.9085900330954075</v>
      </c>
      <c r="D248" s="154">
        <v>11.274036734841401</v>
      </c>
    </row>
    <row r="249" spans="1:4" x14ac:dyDescent="0.55000000000000004">
      <c r="A249" s="13">
        <v>447</v>
      </c>
      <c r="B249" s="38" t="s">
        <v>188</v>
      </c>
      <c r="C249" s="158">
        <v>0.2919525828486188</v>
      </c>
      <c r="D249" s="154">
        <v>8.791567742529105E-2</v>
      </c>
    </row>
    <row r="250" spans="1:4" x14ac:dyDescent="0.55000000000000004">
      <c r="A250" s="13">
        <v>448</v>
      </c>
      <c r="B250" s="38" t="s">
        <v>189</v>
      </c>
      <c r="C250" s="158">
        <v>0.18558207459512094</v>
      </c>
      <c r="D250" s="154">
        <v>0.18147008201711379</v>
      </c>
    </row>
    <row r="251" spans="1:4" x14ac:dyDescent="0.55000000000000004">
      <c r="A251" s="13">
        <v>449</v>
      </c>
      <c r="B251" s="38" t="s">
        <v>179</v>
      </c>
      <c r="C251" s="158">
        <v>6.1304540329237138</v>
      </c>
      <c r="D251" s="154">
        <v>27.795242583115158</v>
      </c>
    </row>
    <row r="252" spans="1:4" x14ac:dyDescent="0.55000000000000004">
      <c r="A252" s="13">
        <v>450</v>
      </c>
      <c r="B252" s="38" t="s">
        <v>180</v>
      </c>
      <c r="C252" s="158">
        <v>22.818301707685357</v>
      </c>
      <c r="D252" s="154">
        <v>0.19009029752476583</v>
      </c>
    </row>
    <row r="253" spans="1:4" x14ac:dyDescent="0.55000000000000004">
      <c r="A253" s="13">
        <v>451</v>
      </c>
      <c r="B253" s="38" t="s">
        <v>178</v>
      </c>
      <c r="C253" s="52">
        <v>4081.4188418434942</v>
      </c>
      <c r="D253" s="152">
        <v>18817.332515834882</v>
      </c>
    </row>
    <row r="254" spans="1:4" x14ac:dyDescent="0.55000000000000004">
      <c r="A254" s="13">
        <v>452</v>
      </c>
      <c r="B254" s="38" t="s">
        <v>319</v>
      </c>
      <c r="C254" s="168">
        <f>C243*Fuel_Specs!$B$19/Fuel_Specs!$B$22+C244*Fuel_Specs!$B$20/Fuel_Specs!$B$22+C253</f>
        <v>4104.9442197978897</v>
      </c>
      <c r="D254" s="168">
        <f>D243*Fuel_Specs!$B$19/Fuel_Specs!$B$22+D244*Fuel_Specs!$B$20/Fuel_Specs!$B$22+D253</f>
        <v>18887.15444385089</v>
      </c>
    </row>
    <row r="255" spans="1:4" x14ac:dyDescent="0.55000000000000004">
      <c r="A255" s="13">
        <v>453</v>
      </c>
      <c r="B255" s="42" t="s">
        <v>320</v>
      </c>
      <c r="C255" s="169">
        <f>C254+C251*CH4_GWP_100yr+C252*N2O_GWP_100yr</f>
        <v>10517.02811617712</v>
      </c>
      <c r="D255" s="169">
        <f>D254+D251*CH4_GWP_100yr+D252*N2O_GWP_100yr</f>
        <v>19767.347324051985</v>
      </c>
    </row>
    <row r="257" spans="1:6" x14ac:dyDescent="0.55000000000000004">
      <c r="B257" s="128" t="s">
        <v>321</v>
      </c>
      <c r="C257" s="129">
        <f>C255*D241+D255</f>
        <v>30284.785465470362</v>
      </c>
    </row>
    <row r="258" spans="1:6" x14ac:dyDescent="0.55000000000000004">
      <c r="B258" s="128" t="s">
        <v>400</v>
      </c>
      <c r="C258" s="155">
        <f>C257/mmBTU2MJ</f>
        <v>28.704438220469907</v>
      </c>
    </row>
    <row r="261" spans="1:6" ht="15.75" customHeight="1" x14ac:dyDescent="0.55000000000000004">
      <c r="A261" s="35" t="s">
        <v>405</v>
      </c>
      <c r="B261" s="35"/>
      <c r="C261" s="35"/>
      <c r="D261" s="35"/>
      <c r="E261" s="35"/>
      <c r="F261" s="35"/>
    </row>
    <row r="262" spans="1:6" x14ac:dyDescent="0.55000000000000004">
      <c r="B262" t="s">
        <v>406</v>
      </c>
      <c r="C262" s="166">
        <v>100</v>
      </c>
      <c r="E262" t="s">
        <v>407</v>
      </c>
    </row>
    <row r="263" spans="1:6" x14ac:dyDescent="0.55000000000000004">
      <c r="C263" t="s">
        <v>408</v>
      </c>
      <c r="D263" t="s">
        <v>409</v>
      </c>
    </row>
    <row r="264" spans="1:6" x14ac:dyDescent="0.55000000000000004">
      <c r="B264" s="37"/>
      <c r="C264" s="568" t="s">
        <v>410</v>
      </c>
      <c r="D264" s="569"/>
      <c r="E264" s="568" t="s">
        <v>411</v>
      </c>
      <c r="F264" s="569"/>
    </row>
    <row r="265" spans="1:6" x14ac:dyDescent="0.55000000000000004">
      <c r="B265" s="42"/>
      <c r="C265" s="1" t="s">
        <v>412</v>
      </c>
      <c r="D265" s="2" t="s">
        <v>413</v>
      </c>
      <c r="E265" s="1" t="s">
        <v>95</v>
      </c>
      <c r="F265" s="2" t="s">
        <v>39</v>
      </c>
    </row>
    <row r="266" spans="1:6" x14ac:dyDescent="0.55000000000000004">
      <c r="B266" s="38" t="s">
        <v>337</v>
      </c>
      <c r="C266" s="4"/>
      <c r="D266" s="41"/>
      <c r="F266" s="130">
        <v>1.408572504040601</v>
      </c>
    </row>
    <row r="267" spans="1:6" x14ac:dyDescent="0.55000000000000004">
      <c r="A267" s="13">
        <v>332</v>
      </c>
      <c r="B267" s="38" t="s">
        <v>185</v>
      </c>
      <c r="C267" s="4">
        <v>13.811000379719193</v>
      </c>
      <c r="D267" s="41">
        <v>0</v>
      </c>
      <c r="E267" s="4">
        <v>11.10737451874002</v>
      </c>
      <c r="F267" s="41">
        <v>1.6188351301602752</v>
      </c>
    </row>
    <row r="268" spans="1:6" x14ac:dyDescent="0.55000000000000004">
      <c r="A268" s="13">
        <v>333</v>
      </c>
      <c r="B268" s="38" t="s">
        <v>186</v>
      </c>
      <c r="C268" s="4">
        <v>35.970355182327438</v>
      </c>
      <c r="D268" s="41">
        <v>0</v>
      </c>
      <c r="E268" s="4">
        <v>35.005806483982589</v>
      </c>
      <c r="F268" s="41">
        <v>5.7577278601356934</v>
      </c>
    </row>
    <row r="269" spans="1:6" x14ac:dyDescent="0.55000000000000004">
      <c r="A269" s="13">
        <v>334</v>
      </c>
      <c r="B269" s="38" t="s">
        <v>187</v>
      </c>
      <c r="C269" s="4">
        <v>43.234374982738416</v>
      </c>
      <c r="D269" s="41">
        <v>0</v>
      </c>
      <c r="E269" s="4">
        <v>41.189695527041394</v>
      </c>
      <c r="F269" s="41">
        <v>10.198199796145564</v>
      </c>
    </row>
    <row r="270" spans="1:6" x14ac:dyDescent="0.55000000000000004">
      <c r="A270" s="13">
        <v>335</v>
      </c>
      <c r="B270" s="38" t="s">
        <v>312</v>
      </c>
      <c r="C270" s="4">
        <v>2.1412724593608266</v>
      </c>
      <c r="D270" s="41">
        <v>0</v>
      </c>
      <c r="E270" s="4">
        <v>0.40605408167833523</v>
      </c>
      <c r="F270" s="41">
        <v>1.475708791302522</v>
      </c>
    </row>
    <row r="271" spans="1:6" x14ac:dyDescent="0.55000000000000004">
      <c r="A271" s="13">
        <v>336</v>
      </c>
      <c r="B271" s="38" t="s">
        <v>313</v>
      </c>
      <c r="C271" s="4">
        <v>2.0239401917979558</v>
      </c>
      <c r="D271" s="41">
        <v>0</v>
      </c>
      <c r="E271" s="4">
        <v>0.38388071900212983</v>
      </c>
      <c r="F271" s="41">
        <v>0.83355155967408179</v>
      </c>
    </row>
    <row r="272" spans="1:6" x14ac:dyDescent="0.55000000000000004">
      <c r="A272" s="13">
        <v>337</v>
      </c>
      <c r="B272" s="38" t="s">
        <v>314</v>
      </c>
      <c r="C272" s="4">
        <v>13.214782917247568</v>
      </c>
      <c r="D272" s="41">
        <v>0</v>
      </c>
      <c r="E272" s="4">
        <v>11.21081044396761</v>
      </c>
      <c r="F272" s="41">
        <v>8.5358532711226616</v>
      </c>
    </row>
    <row r="273" spans="1:6" x14ac:dyDescent="0.55000000000000004">
      <c r="A273" s="13">
        <v>338</v>
      </c>
      <c r="B273" s="38" t="s">
        <v>188</v>
      </c>
      <c r="C273" s="4">
        <v>0.18255654459617437</v>
      </c>
      <c r="D273" s="41">
        <v>0</v>
      </c>
      <c r="E273" s="4">
        <v>7.7172328681668068E-2</v>
      </c>
      <c r="F273" s="41">
        <v>4.4428430919118564E-2</v>
      </c>
    </row>
    <row r="274" spans="1:6" x14ac:dyDescent="0.55000000000000004">
      <c r="A274" s="13">
        <v>339</v>
      </c>
      <c r="B274" s="38" t="s">
        <v>189</v>
      </c>
      <c r="C274" s="4">
        <v>0.4395951257509193</v>
      </c>
      <c r="D274" s="41">
        <v>0</v>
      </c>
      <c r="E274" s="4">
        <v>0.16201588436422229</v>
      </c>
      <c r="F274" s="41">
        <v>0.23240012699406687</v>
      </c>
    </row>
    <row r="275" spans="1:6" x14ac:dyDescent="0.55000000000000004">
      <c r="A275" s="13">
        <v>340</v>
      </c>
      <c r="B275" s="38" t="s">
        <v>179</v>
      </c>
      <c r="C275" s="4">
        <v>238.70600625981672</v>
      </c>
      <c r="D275" s="41">
        <v>0</v>
      </c>
      <c r="E275" s="4">
        <v>210.7900369224038</v>
      </c>
      <c r="F275" s="41">
        <v>28.127967966607887</v>
      </c>
    </row>
    <row r="276" spans="1:6" x14ac:dyDescent="0.55000000000000004">
      <c r="A276" s="13">
        <v>341</v>
      </c>
      <c r="B276" s="38" t="s">
        <v>180</v>
      </c>
      <c r="C276" s="4">
        <v>1.7294019367014257</v>
      </c>
      <c r="D276" s="41">
        <v>0</v>
      </c>
      <c r="E276" s="4">
        <v>1.4169237847893239</v>
      </c>
      <c r="F276" s="41">
        <v>0.26697900482878245</v>
      </c>
    </row>
    <row r="277" spans="1:6" x14ac:dyDescent="0.55000000000000004">
      <c r="A277" s="13">
        <v>342</v>
      </c>
      <c r="B277" s="38" t="s">
        <v>178</v>
      </c>
      <c r="C277" s="5">
        <v>75076.396370578237</v>
      </c>
      <c r="D277" s="7">
        <v>0</v>
      </c>
      <c r="E277" s="5">
        <v>6624.4916921424992</v>
      </c>
      <c r="F277" s="7">
        <v>17983.952596743908</v>
      </c>
    </row>
    <row r="278" spans="1:6" x14ac:dyDescent="0.55000000000000004">
      <c r="A278" s="13">
        <v>343</v>
      </c>
      <c r="B278" s="38" t="s">
        <v>319</v>
      </c>
      <c r="C278" s="168">
        <f>C267*Fuel_Specs!$B$19/Fuel_Specs!$B$22+C268*Fuel_Specs!$B$20/Fuel_Specs!$B$22+C277</f>
        <v>75175.965498952966</v>
      </c>
      <c r="D278" s="7">
        <v>0</v>
      </c>
      <c r="E278" s="168">
        <f>E267*Fuel_Specs!$B$19/Fuel_Specs!$B$22+E268*Fuel_Specs!$B$20/Fuel_Specs!$B$22+E277</f>
        <v>6714.1188005340691</v>
      </c>
      <c r="F278" s="168">
        <f>F267*Fuel_Specs!$B$19/Fuel_Specs!$B$22+F268*Fuel_Specs!$B$20/Fuel_Specs!$B$22+F277</f>
        <v>17998.045824298835</v>
      </c>
    </row>
    <row r="279" spans="1:6" x14ac:dyDescent="0.55000000000000004">
      <c r="A279" s="13">
        <v>344</v>
      </c>
      <c r="B279" s="44" t="s">
        <v>320</v>
      </c>
      <c r="C279" s="169">
        <f>C278+C275*CH4_GWP_100yr+C276*N2O_GWP_100yr</f>
        <v>82761.531214214992</v>
      </c>
      <c r="D279" s="6">
        <v>0</v>
      </c>
      <c r="E279" s="169">
        <f>E278+E275*CH4_GWP_100yr+E276*N2O_GWP_100yr</f>
        <v>13382.482094069188</v>
      </c>
      <c r="F279" s="169">
        <f>F278+F275*CH4_GWP_100yr+F276*N2O_GWP_100yr</f>
        <v>18909.144538022007</v>
      </c>
    </row>
    <row r="280" spans="1:6" x14ac:dyDescent="0.55000000000000004">
      <c r="B280" s="128" t="s">
        <v>400</v>
      </c>
      <c r="C280" s="155">
        <f>C279/mmBTU2MJ</f>
        <v>78.442796382973469</v>
      </c>
      <c r="E280" s="155">
        <f>(E279*F266+F279)/mmBTU2MJ</f>
        <v>35.788949799713016</v>
      </c>
    </row>
    <row r="281" spans="1:6" x14ac:dyDescent="0.55000000000000004">
      <c r="B281" s="38" t="s">
        <v>414</v>
      </c>
      <c r="C281" s="167">
        <f>C280/(10^6/Fuel_Specs!$B$64*Fuel_Specs!$E$64/10^3)</f>
        <v>8.9209454710048242</v>
      </c>
      <c r="E281" s="167">
        <f>E280/(10^6/Fuel_Specs!$B$64*Fuel_Specs!$E$64/10^3)</f>
        <v>4.0701158595752052</v>
      </c>
    </row>
    <row r="284" spans="1:6" ht="28.8" x14ac:dyDescent="0.55000000000000004">
      <c r="B284" s="243" t="s">
        <v>415</v>
      </c>
      <c r="C284" s="166">
        <v>0.45</v>
      </c>
    </row>
    <row r="285" spans="1:6" ht="28.8" x14ac:dyDescent="0.55000000000000004">
      <c r="B285" s="243" t="s">
        <v>416</v>
      </c>
      <c r="C285" s="160">
        <f>C284*10^3/(10^3/Fuel_Specs!E64*Fuel_Specs!B64/10^6)</f>
        <v>3956.8965517241381</v>
      </c>
    </row>
    <row r="286" spans="1:6" ht="28.8" x14ac:dyDescent="0.55000000000000004">
      <c r="B286" s="243" t="s">
        <v>417</v>
      </c>
      <c r="C286" s="160">
        <f>C299</f>
        <v>573.09867653914421</v>
      </c>
    </row>
    <row r="287" spans="1:6" x14ac:dyDescent="0.55000000000000004">
      <c r="B287" s="38" t="s">
        <v>354</v>
      </c>
      <c r="C287" s="131">
        <v>6.486320532159652E-2</v>
      </c>
    </row>
    <row r="288" spans="1:6" x14ac:dyDescent="0.55000000000000004">
      <c r="B288" s="38" t="s">
        <v>355</v>
      </c>
      <c r="C288" s="131">
        <v>0.23069964162495199</v>
      </c>
    </row>
    <row r="289" spans="1:11" x14ac:dyDescent="0.55000000000000004">
      <c r="B289" s="38" t="s">
        <v>356</v>
      </c>
      <c r="C289" s="131">
        <v>0.40861970126788755</v>
      </c>
    </row>
    <row r="290" spans="1:11" x14ac:dyDescent="0.55000000000000004">
      <c r="B290" s="38" t="s">
        <v>357</v>
      </c>
      <c r="C290" s="131">
        <v>5.9128443991491392E-2</v>
      </c>
    </row>
    <row r="291" spans="1:11" x14ac:dyDescent="0.55000000000000004">
      <c r="B291" s="38" t="s">
        <v>358</v>
      </c>
      <c r="C291" s="131">
        <v>3.3398599371835973E-2</v>
      </c>
    </row>
    <row r="292" spans="1:11" x14ac:dyDescent="0.55000000000000004">
      <c r="B292" s="38" t="s">
        <v>359</v>
      </c>
      <c r="C292" s="131">
        <v>0.34201308892094173</v>
      </c>
    </row>
    <row r="293" spans="1:11" x14ac:dyDescent="0.55000000000000004">
      <c r="B293" s="38" t="s">
        <v>360</v>
      </c>
      <c r="C293" s="131">
        <v>1.7801506670650524E-3</v>
      </c>
    </row>
    <row r="294" spans="1:11" x14ac:dyDescent="0.55000000000000004">
      <c r="B294" s="38" t="s">
        <v>361</v>
      </c>
      <c r="C294" s="131">
        <v>9.3117679948598719E-3</v>
      </c>
    </row>
    <row r="295" spans="1:11" x14ac:dyDescent="0.55000000000000004">
      <c r="B295" s="38" t="s">
        <v>418</v>
      </c>
      <c r="C295" s="131">
        <v>1.1270265436584284</v>
      </c>
    </row>
    <row r="296" spans="1:11" x14ac:dyDescent="0.55000000000000004">
      <c r="B296" s="38" t="s">
        <v>363</v>
      </c>
      <c r="C296" s="131">
        <v>1.0697268476654764E-2</v>
      </c>
    </row>
    <row r="297" spans="1:11" x14ac:dyDescent="0.55000000000000004">
      <c r="B297" s="38" t="s">
        <v>364</v>
      </c>
      <c r="C297" s="132">
        <v>536.02824624580956</v>
      </c>
    </row>
    <row r="298" spans="1:11" x14ac:dyDescent="0.55000000000000004">
      <c r="B298" s="38" t="s">
        <v>319</v>
      </c>
      <c r="C298" s="138">
        <f>C287*Fuel_Specs!$B$19/Fuel_Specs!$B$22+C288*Fuel_Specs!$B$20/Fuel_Specs!$B$22+C297</f>
        <v>536.5929312439963</v>
      </c>
    </row>
    <row r="299" spans="1:11" x14ac:dyDescent="0.55000000000000004">
      <c r="B299" s="42" t="s">
        <v>321</v>
      </c>
      <c r="C299" s="139">
        <f>C298+C295*CH4_GWP_100yr+C296*N2O_GWP_100yr</f>
        <v>573.09867653914421</v>
      </c>
    </row>
    <row r="301" spans="1:11" ht="28.8" x14ac:dyDescent="0.55000000000000004">
      <c r="B301" s="243" t="s">
        <v>419</v>
      </c>
      <c r="C301" s="5">
        <f>C285+C286</f>
        <v>4529.9952282632821</v>
      </c>
    </row>
    <row r="304" spans="1:11" ht="15.75" customHeight="1" x14ac:dyDescent="0.55000000000000004">
      <c r="A304" s="35" t="s">
        <v>420</v>
      </c>
      <c r="B304" s="35"/>
      <c r="C304" s="35"/>
      <c r="D304" s="35"/>
      <c r="E304" s="35"/>
      <c r="F304" s="35"/>
      <c r="G304" s="35"/>
      <c r="H304" s="35"/>
      <c r="I304" s="35"/>
      <c r="J304" s="35"/>
      <c r="K304" s="35"/>
    </row>
    <row r="306" spans="1:11" x14ac:dyDescent="0.55000000000000004">
      <c r="C306" s="14" t="s">
        <v>262</v>
      </c>
      <c r="D306" s="14" t="s">
        <v>263</v>
      </c>
      <c r="E306" s="14" t="s">
        <v>100</v>
      </c>
      <c r="F306" s="14" t="s">
        <v>264</v>
      </c>
      <c r="G306" s="14" t="s">
        <v>265</v>
      </c>
      <c r="H306" s="184" t="s">
        <v>421</v>
      </c>
      <c r="I306" s="184" t="s">
        <v>422</v>
      </c>
      <c r="J306" s="184" t="s">
        <v>423</v>
      </c>
      <c r="K306" s="184" t="s">
        <v>424</v>
      </c>
    </row>
    <row r="307" spans="1:11" x14ac:dyDescent="0.55000000000000004">
      <c r="B307" s="179" t="s">
        <v>425</v>
      </c>
      <c r="C307" s="565" t="s">
        <v>426</v>
      </c>
      <c r="D307" s="566"/>
      <c r="E307" s="566"/>
      <c r="F307" s="567"/>
      <c r="G307" s="565" t="s">
        <v>427</v>
      </c>
      <c r="H307" s="566"/>
      <c r="I307" s="566"/>
      <c r="J307" s="566"/>
      <c r="K307" s="567"/>
    </row>
    <row r="308" spans="1:11" x14ac:dyDescent="0.55000000000000004">
      <c r="A308" s="13">
        <v>110</v>
      </c>
      <c r="B308" s="38" t="s">
        <v>428</v>
      </c>
      <c r="C308" s="185" t="s">
        <v>429</v>
      </c>
      <c r="D308" s="185" t="s">
        <v>430</v>
      </c>
      <c r="E308" s="185" t="s">
        <v>431</v>
      </c>
      <c r="F308" s="185" t="s">
        <v>432</v>
      </c>
      <c r="G308" s="185" t="s">
        <v>433</v>
      </c>
      <c r="H308" s="185" t="s">
        <v>429</v>
      </c>
      <c r="I308" s="185" t="s">
        <v>430</v>
      </c>
      <c r="J308" s="185" t="s">
        <v>432</v>
      </c>
      <c r="K308" s="185" t="s">
        <v>433</v>
      </c>
    </row>
    <row r="309" spans="1:11" x14ac:dyDescent="0.55000000000000004">
      <c r="A309" s="13">
        <v>112</v>
      </c>
      <c r="B309" s="42" t="s">
        <v>434</v>
      </c>
      <c r="C309" s="186">
        <v>6666.4259630103825</v>
      </c>
      <c r="D309" s="186">
        <v>750</v>
      </c>
      <c r="E309" s="186">
        <v>520.83268090934303</v>
      </c>
      <c r="F309" s="186">
        <v>797</v>
      </c>
      <c r="G309" s="186">
        <v>30</v>
      </c>
      <c r="H309" s="187">
        <v>5000</v>
      </c>
      <c r="I309" s="187">
        <v>520</v>
      </c>
      <c r="J309" s="187">
        <v>800</v>
      </c>
      <c r="K309" s="187">
        <v>30</v>
      </c>
    </row>
    <row r="310" spans="1:11" x14ac:dyDescent="0.55000000000000004">
      <c r="A310" s="13"/>
      <c r="B310" s="38" t="s">
        <v>435</v>
      </c>
      <c r="C310" s="185"/>
      <c r="D310" s="185"/>
      <c r="E310" s="185"/>
      <c r="F310" s="185"/>
      <c r="G310" s="185"/>
      <c r="H310" s="185"/>
      <c r="I310" s="185"/>
      <c r="J310" s="185"/>
      <c r="K310" s="185"/>
    </row>
    <row r="311" spans="1:11" x14ac:dyDescent="0.55000000000000004">
      <c r="A311" s="13">
        <v>138</v>
      </c>
      <c r="B311" s="38" t="s">
        <v>436</v>
      </c>
      <c r="C311" s="188">
        <v>1.0968094099668511</v>
      </c>
      <c r="D311" s="188">
        <v>0.20966378131027785</v>
      </c>
      <c r="E311" s="188">
        <v>8.3574724270156081E-2</v>
      </c>
      <c r="F311" s="188">
        <v>0.21499405750123096</v>
      </c>
      <c r="G311" s="188">
        <v>1.4307894332483887E-2</v>
      </c>
      <c r="H311" s="188">
        <v>1.0522071312856989</v>
      </c>
      <c r="I311" s="188">
        <v>0.12976075424979983</v>
      </c>
      <c r="J311" s="188">
        <v>0.18941560272586166</v>
      </c>
      <c r="K311" s="188">
        <v>2.0930620447514751E-2</v>
      </c>
    </row>
    <row r="312" spans="1:11" x14ac:dyDescent="0.55000000000000004">
      <c r="A312" s="13">
        <v>139</v>
      </c>
      <c r="B312" s="38" t="s">
        <v>437</v>
      </c>
      <c r="C312" s="188">
        <v>2.4523235127645249</v>
      </c>
      <c r="D312" s="188">
        <v>1.834202765721801</v>
      </c>
      <c r="E312" s="188">
        <v>0.29725111902633705</v>
      </c>
      <c r="F312" s="188">
        <v>0.36578278638369327</v>
      </c>
      <c r="G312" s="188">
        <v>0.2018599229033379</v>
      </c>
      <c r="H312" s="188">
        <v>1.8047138458559353</v>
      </c>
      <c r="I312" s="188">
        <v>0.8853181177821795</v>
      </c>
      <c r="J312" s="188">
        <v>0.32226456747166449</v>
      </c>
      <c r="K312" s="188">
        <v>0.29529526369663051</v>
      </c>
    </row>
    <row r="313" spans="1:11" x14ac:dyDescent="0.55000000000000004">
      <c r="A313" s="13">
        <v>140</v>
      </c>
      <c r="B313" s="38" t="s">
        <v>438</v>
      </c>
      <c r="C313" s="188">
        <v>26.479471373455514</v>
      </c>
      <c r="D313" s="188">
        <v>6.3297463839400976</v>
      </c>
      <c r="E313" s="188">
        <v>0.52649697503886361</v>
      </c>
      <c r="F313" s="188">
        <v>2.578442884586837</v>
      </c>
      <c r="G313" s="188">
        <v>0.13746384609406564</v>
      </c>
      <c r="H313" s="188">
        <v>25.028864482226385</v>
      </c>
      <c r="I313" s="188">
        <v>3.9445781988711799</v>
      </c>
      <c r="J313" s="188">
        <v>2.2716781977819496</v>
      </c>
      <c r="K313" s="188">
        <v>0.20109203499764597</v>
      </c>
    </row>
    <row r="314" spans="1:11" x14ac:dyDescent="0.55000000000000004">
      <c r="A314" s="13">
        <v>141</v>
      </c>
      <c r="B314" s="38" t="s">
        <v>439</v>
      </c>
      <c r="C314" s="188">
        <v>2.3302853478362016</v>
      </c>
      <c r="D314" s="188">
        <v>0.212452672250418</v>
      </c>
      <c r="E314" s="188">
        <v>7.6185623952247747E-2</v>
      </c>
      <c r="F314" s="188">
        <v>4.8358819658784795E-2</v>
      </c>
      <c r="G314" s="188">
        <v>7.6734195499015816E-3</v>
      </c>
      <c r="H314" s="188">
        <v>1.1293869293302021</v>
      </c>
      <c r="I314" s="188">
        <v>7.6341824888144241E-2</v>
      </c>
      <c r="J314" s="188">
        <v>4.2605433281464176E-2</v>
      </c>
      <c r="K314" s="188">
        <v>1.1225231917521943E-2</v>
      </c>
    </row>
    <row r="315" spans="1:11" x14ac:dyDescent="0.55000000000000004">
      <c r="A315" s="13">
        <v>142</v>
      </c>
      <c r="B315" s="38" t="s">
        <v>440</v>
      </c>
      <c r="C315" s="188">
        <v>2.1434399853148842</v>
      </c>
      <c r="D315" s="188">
        <v>0.20460435496009508</v>
      </c>
      <c r="E315" s="188">
        <v>4.3033317985513485E-2</v>
      </c>
      <c r="F315" s="188">
        <v>4.5951702342789891E-2</v>
      </c>
      <c r="G315" s="188">
        <v>2.1848992226278412E-3</v>
      </c>
      <c r="H315" s="188">
        <v>1.0390721206588425</v>
      </c>
      <c r="I315" s="188">
        <v>7.3477831260228818E-2</v>
      </c>
      <c r="J315" s="188">
        <v>4.0484697561880757E-2</v>
      </c>
      <c r="K315" s="188">
        <v>3.1962282696670068E-3</v>
      </c>
    </row>
    <row r="316" spans="1:11" x14ac:dyDescent="0.55000000000000004">
      <c r="A316" s="13">
        <v>143</v>
      </c>
      <c r="B316" s="38" t="s">
        <v>441</v>
      </c>
      <c r="C316" s="188">
        <v>18.510947669492793</v>
      </c>
      <c r="D316" s="188">
        <v>4.8336647096506924E-2</v>
      </c>
      <c r="E316" s="188">
        <v>0.44067587257879481</v>
      </c>
      <c r="F316" s="188">
        <v>3.1441363264290263E-2</v>
      </c>
      <c r="G316" s="188">
        <v>5.3192555738719371E-3</v>
      </c>
      <c r="H316" s="188">
        <v>8.0727508471483329</v>
      </c>
      <c r="I316" s="188">
        <v>0.81598074631626205</v>
      </c>
      <c r="J316" s="188">
        <v>2.7700694811968025E-2</v>
      </c>
      <c r="K316" s="188">
        <v>7.7813909505377683E-3</v>
      </c>
    </row>
    <row r="317" spans="1:11" x14ac:dyDescent="0.55000000000000004">
      <c r="A317" s="13">
        <v>144</v>
      </c>
      <c r="B317" s="38" t="s">
        <v>442</v>
      </c>
      <c r="C317" s="188">
        <v>0.32147099244462263</v>
      </c>
      <c r="D317" s="188">
        <v>3.0714939666886897E-2</v>
      </c>
      <c r="E317" s="188">
        <v>2.2936827040278122E-3</v>
      </c>
      <c r="F317" s="188">
        <v>4.3039661999925054E-3</v>
      </c>
      <c r="G317" s="188">
        <v>2.0425884569240038E-4</v>
      </c>
      <c r="H317" s="188">
        <v>0.15571225235121816</v>
      </c>
      <c r="I317" s="188">
        <v>1.0956688306318111E-2</v>
      </c>
      <c r="J317" s="188">
        <v>3.7919110944666413E-3</v>
      </c>
      <c r="K317" s="188">
        <v>2.9880458108561648E-4</v>
      </c>
    </row>
    <row r="318" spans="1:11" x14ac:dyDescent="0.55000000000000004">
      <c r="A318" s="13">
        <v>145</v>
      </c>
      <c r="B318" s="38" t="s">
        <v>443</v>
      </c>
      <c r="C318" s="188">
        <v>0.83444790838638205</v>
      </c>
      <c r="D318" s="188">
        <v>7.8594641903098242E-2</v>
      </c>
      <c r="E318" s="188">
        <v>1.1997996343165333E-2</v>
      </c>
      <c r="F318" s="188">
        <v>3.6713780363687006E-2</v>
      </c>
      <c r="G318" s="188">
        <v>3.6455934137032548E-4</v>
      </c>
      <c r="H318" s="188">
        <v>0.40529330248684997</v>
      </c>
      <c r="I318" s="188">
        <v>2.8629106920317431E-2</v>
      </c>
      <c r="J318" s="188">
        <v>3.2345837446659954E-2</v>
      </c>
      <c r="K318" s="188">
        <v>5.3330371524302252E-4</v>
      </c>
    </row>
    <row r="319" spans="1:11" x14ac:dyDescent="0.55000000000000004">
      <c r="A319" s="13">
        <v>146</v>
      </c>
      <c r="B319" s="38" t="s">
        <v>444</v>
      </c>
      <c r="C319" s="188">
        <v>1.3405758202654272</v>
      </c>
      <c r="D319" s="188">
        <v>1.005050549790186</v>
      </c>
      <c r="E319" s="188">
        <v>1.4521474715573153</v>
      </c>
      <c r="F319" s="188">
        <v>0.68969758446407736</v>
      </c>
      <c r="G319" s="188">
        <v>0.11072535556408429</v>
      </c>
      <c r="H319" s="188">
        <v>2.7348779191984467</v>
      </c>
      <c r="I319" s="188">
        <v>0.99126025031500087</v>
      </c>
      <c r="J319" s="188">
        <v>0.60764230034165523</v>
      </c>
      <c r="K319" s="188">
        <v>0.16197704130134086</v>
      </c>
    </row>
    <row r="320" spans="1:11" x14ac:dyDescent="0.55000000000000004">
      <c r="A320" s="13">
        <v>147</v>
      </c>
      <c r="B320" s="38" t="s">
        <v>445</v>
      </c>
      <c r="C320" s="188">
        <v>2.7611903855985418E-2</v>
      </c>
      <c r="D320" s="188">
        <v>2.0359569150329999E-2</v>
      </c>
      <c r="E320" s="188">
        <v>1.3783181468396659E-2</v>
      </c>
      <c r="F320" s="188">
        <v>1.4026541173419114E-2</v>
      </c>
      <c r="G320" s="188">
        <v>3.5989016528004738E-4</v>
      </c>
      <c r="H320" s="188">
        <v>2.6034555647041352E-2</v>
      </c>
      <c r="I320" s="188">
        <v>1.2059199905583181E-2</v>
      </c>
      <c r="J320" s="188">
        <v>1.2357763658221504E-2</v>
      </c>
      <c r="K320" s="188">
        <v>5.2647330747810468E-4</v>
      </c>
    </row>
    <row r="321" spans="1:11" x14ac:dyDescent="0.55000000000000004">
      <c r="A321" s="13">
        <v>148</v>
      </c>
      <c r="B321" s="42" t="s">
        <v>446</v>
      </c>
      <c r="C321" s="189">
        <v>1202.7548133747293</v>
      </c>
      <c r="D321" s="189">
        <v>825.68608290307247</v>
      </c>
      <c r="E321" s="189">
        <v>690.65991998948346</v>
      </c>
      <c r="F321" s="189">
        <v>538.03720932919794</v>
      </c>
      <c r="G321" s="189">
        <v>90.851105400447366</v>
      </c>
      <c r="H321" s="189">
        <v>978.15396914633607</v>
      </c>
      <c r="I321" s="189">
        <v>460.38083538942715</v>
      </c>
      <c r="J321" s="189">
        <v>474.02539157830967</v>
      </c>
      <c r="K321" s="189">
        <v>132.9035538134145</v>
      </c>
    </row>
    <row r="322" spans="1:11" x14ac:dyDescent="0.55000000000000004">
      <c r="B322" s="38" t="s">
        <v>319</v>
      </c>
      <c r="C322" s="190">
        <f>C311*Fuel_Specs!$B$19/Fuel_Specs!$B$22+C312*Fuel_Specs!$B$20/Fuel_Specs!$B$22+C321</f>
        <v>1210.0268539368037</v>
      </c>
      <c r="D322" s="190">
        <f>D311*Fuel_Specs!$B$19/Fuel_Specs!$B$22+D312*Fuel_Specs!$B$20/Fuel_Specs!$B$22+D321</f>
        <v>829.22185365333803</v>
      </c>
      <c r="E322" s="190">
        <f>E311*Fuel_Specs!$B$19/Fuel_Specs!$B$22+E312*Fuel_Specs!$B$20/Fuel_Specs!$B$22+E321</f>
        <v>691.38750344811922</v>
      </c>
      <c r="F322" s="190">
        <f>F311*Fuel_Specs!$B$19/Fuel_Specs!$B$22+F312*Fuel_Specs!$B$20/Fuel_Specs!$B$22+F321</f>
        <v>539.2820756632035</v>
      </c>
      <c r="G322" s="190">
        <f>G311*Fuel_Specs!$B$19/Fuel_Specs!$B$22+G312*Fuel_Specs!$B$20/Fuel_Specs!$B$22+G321</f>
        <v>91.21290678806028</v>
      </c>
      <c r="H322" s="190">
        <f>H311*Fuel_Specs!$B$19/Fuel_Specs!$B$22+H312*Fuel_Specs!$B$20/Fuel_Specs!$B$22+H321</f>
        <v>984.2693269394739</v>
      </c>
      <c r="I322" s="190">
        <f>I311*Fuel_Specs!$B$19/Fuel_Specs!$B$22+I312*Fuel_Specs!$B$20/Fuel_Specs!$B$22+I321</f>
        <v>462.17647059192529</v>
      </c>
      <c r="J322" s="190">
        <f>J311*Fuel_Specs!$B$19/Fuel_Specs!$B$22+J312*Fuel_Specs!$B$20/Fuel_Specs!$B$22+J321</f>
        <v>475.122152622356</v>
      </c>
      <c r="K322" s="190">
        <f>K311*Fuel_Specs!$B$19/Fuel_Specs!$B$22+K312*Fuel_Specs!$B$20/Fuel_Specs!$B$22+K321</f>
        <v>133.43282299485634</v>
      </c>
    </row>
    <row r="323" spans="1:11" x14ac:dyDescent="0.55000000000000004">
      <c r="B323" s="42" t="s">
        <v>321</v>
      </c>
      <c r="C323" s="191">
        <f t="shared" ref="C323:K323" si="28">C322+C319*CH4_GWP_100yr+C320*N2O_GWP_100yr</f>
        <v>1257.5140631333975</v>
      </c>
      <c r="D323" s="191">
        <f t="shared" si="28"/>
        <v>864.73052241512562</v>
      </c>
      <c r="E323" s="191">
        <f t="shared" si="28"/>
        <v>738.42430664139943</v>
      </c>
      <c r="F323" s="191">
        <f t="shared" si="28"/>
        <v>563.66430942057639</v>
      </c>
      <c r="G323" s="191">
        <f t="shared" si="28"/>
        <v>94.610772398991443</v>
      </c>
      <c r="H323" s="191">
        <f t="shared" si="28"/>
        <v>1072.8761226232298</v>
      </c>
      <c r="I323" s="191">
        <f t="shared" si="28"/>
        <v>495.00818762553655</v>
      </c>
      <c r="J323" s="191">
        <f t="shared" si="28"/>
        <v>496.60356265123181</v>
      </c>
      <c r="K323" s="191">
        <f t="shared" si="28"/>
        <v>138.40346603857782</v>
      </c>
    </row>
    <row r="324" spans="1:11" x14ac:dyDescent="0.55000000000000004">
      <c r="B324" s="42" t="s">
        <v>447</v>
      </c>
      <c r="C324" s="242">
        <f t="shared" ref="C324:K324" si="29">C323/C309</f>
        <v>0.18863392020115338</v>
      </c>
      <c r="D324" s="192">
        <f t="shared" si="29"/>
        <v>1.1529740298868341</v>
      </c>
      <c r="E324" s="242">
        <f t="shared" si="29"/>
        <v>1.4177764447349086</v>
      </c>
      <c r="F324" s="192">
        <f t="shared" si="29"/>
        <v>0.7072325086832828</v>
      </c>
      <c r="G324" s="192">
        <f t="shared" si="29"/>
        <v>3.1536924132997148</v>
      </c>
      <c r="H324" s="192">
        <f t="shared" si="29"/>
        <v>0.21457522452464595</v>
      </c>
      <c r="I324" s="192">
        <f t="shared" si="29"/>
        <v>0.95193882235680105</v>
      </c>
      <c r="J324" s="192">
        <f t="shared" si="29"/>
        <v>0.62075445331403978</v>
      </c>
      <c r="K324" s="192">
        <f t="shared" si="29"/>
        <v>4.6134488679525942</v>
      </c>
    </row>
    <row r="327" spans="1:11" ht="15.75" customHeight="1" x14ac:dyDescent="0.55000000000000004">
      <c r="A327" s="35" t="s">
        <v>448</v>
      </c>
      <c r="B327" s="35"/>
      <c r="C327" s="35"/>
      <c r="D327" s="35"/>
      <c r="E327" s="35"/>
      <c r="F327" s="35"/>
      <c r="G327" s="35"/>
      <c r="H327" s="35"/>
      <c r="I327" s="35"/>
      <c r="J327" s="35"/>
      <c r="K327" s="35"/>
    </row>
    <row r="329" spans="1:11" x14ac:dyDescent="0.55000000000000004">
      <c r="B329" t="s">
        <v>37</v>
      </c>
      <c r="C329" t="s">
        <v>449</v>
      </c>
      <c r="D329">
        <v>7491</v>
      </c>
      <c r="E329" t="s">
        <v>450</v>
      </c>
    </row>
    <row r="330" spans="1:11" x14ac:dyDescent="0.55000000000000004">
      <c r="D330" s="183">
        <f>D329*1.15078</f>
        <v>8620.4929799999991</v>
      </c>
      <c r="E330" t="s">
        <v>451</v>
      </c>
      <c r="F330" s="193">
        <f>D330*C324</f>
        <v>1626.1173848839228</v>
      </c>
      <c r="G330" t="s">
        <v>155</v>
      </c>
      <c r="H330" s="196">
        <f>F330/mmBTU2MJ</f>
        <v>1.5412619008594881</v>
      </c>
      <c r="I330" t="s">
        <v>157</v>
      </c>
    </row>
    <row r="331" spans="1:11" x14ac:dyDescent="0.55000000000000004">
      <c r="B331" t="s">
        <v>36</v>
      </c>
      <c r="C331" t="s">
        <v>452</v>
      </c>
      <c r="D331">
        <v>10557</v>
      </c>
      <c r="E331" t="s">
        <v>450</v>
      </c>
    </row>
    <row r="332" spans="1:11" x14ac:dyDescent="0.55000000000000004">
      <c r="D332" s="183">
        <f>D331*1.15078</f>
        <v>12148.784459999999</v>
      </c>
      <c r="E332" t="s">
        <v>451</v>
      </c>
      <c r="F332" s="193">
        <f>D332*C324</f>
        <v>2291.6728383686523</v>
      </c>
      <c r="G332" t="s">
        <v>155</v>
      </c>
      <c r="H332" s="196">
        <f>F332/mmBTU2MJ</f>
        <v>2.1720867557567236</v>
      </c>
      <c r="I332" t="s">
        <v>157</v>
      </c>
    </row>
    <row r="333" spans="1:11" x14ac:dyDescent="0.55000000000000004">
      <c r="B333" t="s">
        <v>130</v>
      </c>
      <c r="C333" t="s">
        <v>453</v>
      </c>
      <c r="D333">
        <v>4142</v>
      </c>
      <c r="E333" t="s">
        <v>450</v>
      </c>
    </row>
    <row r="334" spans="1:11" x14ac:dyDescent="0.55000000000000004">
      <c r="D334" s="183">
        <f>D333*1.15078</f>
        <v>4766.5307599999996</v>
      </c>
      <c r="E334" t="s">
        <v>451</v>
      </c>
    </row>
    <row r="335" spans="1:11" x14ac:dyDescent="0.55000000000000004">
      <c r="B335" t="s">
        <v>454</v>
      </c>
      <c r="C335" t="s">
        <v>455</v>
      </c>
      <c r="D335">
        <v>2455</v>
      </c>
      <c r="E335" t="s">
        <v>450</v>
      </c>
    </row>
    <row r="336" spans="1:11" x14ac:dyDescent="0.55000000000000004">
      <c r="D336" s="183">
        <f>D335*1.15078</f>
        <v>2825.1648999999998</v>
      </c>
      <c r="E336" t="s">
        <v>451</v>
      </c>
    </row>
    <row r="337" spans="3:9" x14ac:dyDescent="0.55000000000000004">
      <c r="D337" s="183"/>
    </row>
    <row r="338" spans="3:9" x14ac:dyDescent="0.55000000000000004">
      <c r="C338" t="s">
        <v>456</v>
      </c>
      <c r="D338" s="183">
        <v>45.672264172207804</v>
      </c>
      <c r="E338" t="s">
        <v>457</v>
      </c>
      <c r="F338" s="193">
        <f>D338*CH4_GWP_100yr</f>
        <v>1361.0334723317926</v>
      </c>
      <c r="G338" t="s">
        <v>155</v>
      </c>
      <c r="H338" s="196">
        <f>F338/mmBTU2MJ</f>
        <v>1.2900108295990138</v>
      </c>
      <c r="I338" t="s">
        <v>157</v>
      </c>
    </row>
  </sheetData>
  <mergeCells count="65">
    <mergeCell ref="C183:C184"/>
    <mergeCell ref="F128:F129"/>
    <mergeCell ref="G128:G129"/>
    <mergeCell ref="H128:H129"/>
    <mergeCell ref="C307:F307"/>
    <mergeCell ref="G307:K307"/>
    <mergeCell ref="C239:D239"/>
    <mergeCell ref="C264:D264"/>
    <mergeCell ref="E264:F264"/>
    <mergeCell ref="C128:C129"/>
    <mergeCell ref="C153:C154"/>
    <mergeCell ref="I73:J73"/>
    <mergeCell ref="K73:L73"/>
    <mergeCell ref="C73:D73"/>
    <mergeCell ref="E73:F73"/>
    <mergeCell ref="G73:H73"/>
    <mergeCell ref="C72:D72"/>
    <mergeCell ref="E72:F72"/>
    <mergeCell ref="G72:H72"/>
    <mergeCell ref="I50:J50"/>
    <mergeCell ref="I51:J51"/>
    <mergeCell ref="I72:J72"/>
    <mergeCell ref="C50:D50"/>
    <mergeCell ref="E50:F50"/>
    <mergeCell ref="E51:F51"/>
    <mergeCell ref="G50:H50"/>
    <mergeCell ref="G51:H51"/>
    <mergeCell ref="C51:D51"/>
    <mergeCell ref="K50:L50"/>
    <mergeCell ref="R72:S72"/>
    <mergeCell ref="R73:S73"/>
    <mergeCell ref="O50:P50"/>
    <mergeCell ref="O51:P51"/>
    <mergeCell ref="M50:N50"/>
    <mergeCell ref="M51:N51"/>
    <mergeCell ref="K72:L72"/>
    <mergeCell ref="O72:P72"/>
    <mergeCell ref="O73:P73"/>
    <mergeCell ref="K51:L51"/>
    <mergeCell ref="M72:N72"/>
    <mergeCell ref="M73:N73"/>
    <mergeCell ref="L128:L129"/>
    <mergeCell ref="F153:F154"/>
    <mergeCell ref="G153:G154"/>
    <mergeCell ref="H153:H154"/>
    <mergeCell ref="I153:I154"/>
    <mergeCell ref="J153:J154"/>
    <mergeCell ref="K153:K154"/>
    <mergeCell ref="L153:L154"/>
    <mergeCell ref="D98:D99"/>
    <mergeCell ref="E98:E99"/>
    <mergeCell ref="M153:M154"/>
    <mergeCell ref="N153:N154"/>
    <mergeCell ref="F183:F184"/>
    <mergeCell ref="G183:G184"/>
    <mergeCell ref="H183:H184"/>
    <mergeCell ref="I183:I184"/>
    <mergeCell ref="J183:J184"/>
    <mergeCell ref="K183:K184"/>
    <mergeCell ref="L183:L184"/>
    <mergeCell ref="M183:M184"/>
    <mergeCell ref="N183:N184"/>
    <mergeCell ref="I128:I129"/>
    <mergeCell ref="J128:J129"/>
    <mergeCell ref="K128:K129"/>
  </mergeCells>
  <pageMargins left="0.7" right="0.7" top="0.75" bottom="0.75" header="0.3" footer="0.3"/>
  <pageSetup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22B25-B3D1-4B02-8F61-E853243BDD5F}">
  <sheetPr>
    <tabColor rgb="FFFFFF00"/>
  </sheetPr>
  <dimension ref="A1:S338"/>
  <sheetViews>
    <sheetView showWhiteSpace="0" zoomScale="67" zoomScaleNormal="100" workbookViewId="0">
      <selection activeCell="G20" sqref="G20"/>
    </sheetView>
  </sheetViews>
  <sheetFormatPr defaultColWidth="9.15625" defaultRowHeight="14.4" x14ac:dyDescent="0.55000000000000004"/>
  <cols>
    <col min="2" max="2" width="32" customWidth="1"/>
    <col min="3" max="3" width="25.578125" customWidth="1"/>
    <col min="4" max="4" width="29.15625" customWidth="1"/>
    <col min="5" max="5" width="41.83984375" customWidth="1"/>
    <col min="6" max="6" width="37.41796875" customWidth="1"/>
    <col min="7" max="7" width="49" customWidth="1"/>
    <col min="8" max="8" width="37.68359375" customWidth="1"/>
    <col min="9" max="9" width="22.26171875" customWidth="1"/>
    <col min="10" max="10" width="29.26171875" customWidth="1"/>
    <col min="11" max="11" width="24.15625" customWidth="1"/>
    <col min="12" max="12" width="17.41796875" customWidth="1"/>
    <col min="13" max="13" width="29.41796875" customWidth="1"/>
    <col min="14" max="14" width="54.41796875" customWidth="1"/>
    <col min="15" max="15" width="30.68359375" customWidth="1"/>
    <col min="16" max="16" width="9.15625" customWidth="1"/>
    <col min="18" max="18" width="22.15625" customWidth="1"/>
    <col min="19" max="19" width="21.41796875" customWidth="1"/>
  </cols>
  <sheetData>
    <row r="1" spans="1:11" x14ac:dyDescent="0.55000000000000004">
      <c r="A1" s="35" t="s">
        <v>260</v>
      </c>
      <c r="B1" s="35"/>
      <c r="C1" s="35"/>
      <c r="D1" s="35"/>
      <c r="E1" s="35"/>
      <c r="F1" s="35"/>
      <c r="G1" s="35"/>
      <c r="H1" s="35"/>
      <c r="I1" s="35"/>
      <c r="J1" s="35"/>
      <c r="K1" s="35"/>
    </row>
    <row r="3" spans="1:11" x14ac:dyDescent="0.55000000000000004">
      <c r="B3" s="14" t="s">
        <v>261</v>
      </c>
      <c r="C3" s="14" t="s">
        <v>262</v>
      </c>
      <c r="D3" s="14" t="s">
        <v>263</v>
      </c>
      <c r="E3" s="14" t="s">
        <v>100</v>
      </c>
      <c r="F3" s="14" t="s">
        <v>264</v>
      </c>
      <c r="G3" s="14" t="s">
        <v>265</v>
      </c>
      <c r="H3" s="14" t="s">
        <v>266</v>
      </c>
      <c r="I3" s="14" t="s">
        <v>267</v>
      </c>
      <c r="J3" s="14" t="s">
        <v>268</v>
      </c>
      <c r="K3" s="14" t="s">
        <v>227</v>
      </c>
    </row>
    <row r="4" spans="1:11" x14ac:dyDescent="0.55000000000000004">
      <c r="B4" s="17" t="s">
        <v>269</v>
      </c>
    </row>
    <row r="5" spans="1:11" ht="116.1" x14ac:dyDescent="0.55000000000000004">
      <c r="B5" s="18"/>
      <c r="C5" s="19"/>
      <c r="D5" s="20" t="s">
        <v>270</v>
      </c>
      <c r="E5" s="21" t="s">
        <v>271</v>
      </c>
      <c r="F5" s="21" t="s">
        <v>272</v>
      </c>
      <c r="G5" s="21" t="s">
        <v>273</v>
      </c>
      <c r="H5" s="21" t="s">
        <v>274</v>
      </c>
      <c r="I5" s="21" t="s">
        <v>275</v>
      </c>
      <c r="J5" s="22" t="s">
        <v>276</v>
      </c>
      <c r="K5" s="23" t="s">
        <v>277</v>
      </c>
    </row>
    <row r="6" spans="1:11" x14ac:dyDescent="0.55000000000000004">
      <c r="A6" s="13">
        <v>60</v>
      </c>
      <c r="B6" s="18" t="s">
        <v>278</v>
      </c>
      <c r="C6" s="19"/>
      <c r="D6" s="24">
        <v>0.6701651632099429</v>
      </c>
      <c r="E6" s="25">
        <v>0.6701651632099429</v>
      </c>
      <c r="F6" s="25"/>
      <c r="G6" s="25"/>
      <c r="H6" s="36">
        <f>1/(F7/H7+F8/H8+F9/H9)</f>
        <v>0.32264719014886878</v>
      </c>
      <c r="I6" s="36">
        <f>1/(G7/I7+G8/I8+G9/I9)</f>
        <v>0.32264719014886878</v>
      </c>
      <c r="J6" s="25">
        <v>0.01</v>
      </c>
      <c r="K6" s="26">
        <v>0.01</v>
      </c>
    </row>
    <row r="7" spans="1:11" x14ac:dyDescent="0.55000000000000004">
      <c r="A7" s="13">
        <v>61</v>
      </c>
      <c r="B7" s="8" t="s">
        <v>279</v>
      </c>
      <c r="D7" s="27"/>
      <c r="E7" s="28"/>
      <c r="F7" s="28">
        <v>0.86046707015891399</v>
      </c>
      <c r="G7" s="28">
        <v>0.86046707015891399</v>
      </c>
      <c r="H7" s="28">
        <v>0.33105767792322299</v>
      </c>
      <c r="I7" s="28">
        <v>0.33105767792322299</v>
      </c>
      <c r="J7" s="28"/>
      <c r="K7" s="29"/>
    </row>
    <row r="8" spans="1:11" x14ac:dyDescent="0.55000000000000004">
      <c r="A8" s="13">
        <v>62</v>
      </c>
      <c r="B8" s="8" t="s">
        <v>280</v>
      </c>
      <c r="D8" s="27"/>
      <c r="E8" s="28"/>
      <c r="F8" s="28">
        <v>7.981014681959761E-2</v>
      </c>
      <c r="G8" s="28">
        <v>7.981014681959761E-2</v>
      </c>
      <c r="H8" s="28">
        <v>0.36697707441917199</v>
      </c>
      <c r="I8" s="28">
        <v>0.36697707441917199</v>
      </c>
      <c r="J8" s="28"/>
      <c r="K8" s="29"/>
    </row>
    <row r="9" spans="1:11" x14ac:dyDescent="0.55000000000000004">
      <c r="A9" s="13">
        <v>63</v>
      </c>
      <c r="B9" s="8" t="s">
        <v>281</v>
      </c>
      <c r="D9" s="27"/>
      <c r="E9" s="28"/>
      <c r="F9" s="28">
        <v>5.9722783021488403E-2</v>
      </c>
      <c r="G9" s="28">
        <v>5.9722783021488403E-2</v>
      </c>
      <c r="H9" s="28">
        <v>0.21123220166038101</v>
      </c>
      <c r="I9" s="28">
        <v>0.21123220166038101</v>
      </c>
      <c r="J9" s="28"/>
      <c r="K9" s="29"/>
    </row>
    <row r="10" spans="1:11" x14ac:dyDescent="0.55000000000000004">
      <c r="A10" s="13"/>
      <c r="B10" s="8" t="s">
        <v>467</v>
      </c>
      <c r="D10" s="27"/>
      <c r="E10" s="28"/>
      <c r="F10" s="28"/>
      <c r="G10" s="28"/>
      <c r="H10" s="28"/>
      <c r="I10" s="28">
        <f>3412/9696</f>
        <v>0.3518976897689769</v>
      </c>
      <c r="J10" s="28"/>
      <c r="K10" s="29"/>
    </row>
    <row r="11" spans="1:11" x14ac:dyDescent="0.55000000000000004">
      <c r="A11" s="13">
        <v>64</v>
      </c>
      <c r="B11" s="18" t="s">
        <v>282</v>
      </c>
      <c r="C11" s="19"/>
      <c r="D11" s="291">
        <v>0</v>
      </c>
      <c r="E11" s="292">
        <v>0</v>
      </c>
      <c r="F11" s="292"/>
      <c r="G11" s="292"/>
      <c r="H11" s="36">
        <f>1/(F12/H12+F13/H13+F14/H14+F15/H15)</f>
        <v>0.328993739407409</v>
      </c>
      <c r="I11" s="334">
        <f>1/(G12/I12+G13/I13+G14/I14+G15/I15)</f>
        <v>0.46164072700968145</v>
      </c>
      <c r="J11" s="292">
        <v>0.313</v>
      </c>
      <c r="K11" s="293">
        <v>0.313</v>
      </c>
    </row>
    <row r="12" spans="1:11" x14ac:dyDescent="0.55000000000000004">
      <c r="A12" s="13">
        <v>65</v>
      </c>
      <c r="B12" s="8" t="s">
        <v>279</v>
      </c>
      <c r="D12" s="133"/>
      <c r="E12" s="53"/>
      <c r="F12" s="53">
        <v>0</v>
      </c>
      <c r="G12" s="53">
        <v>0</v>
      </c>
      <c r="H12" s="53">
        <v>0.33846092598101002</v>
      </c>
      <c r="I12" s="53">
        <v>0.33846092598101002</v>
      </c>
      <c r="J12" s="53"/>
      <c r="K12" s="134"/>
    </row>
    <row r="13" spans="1:11" ht="14.25" customHeight="1" x14ac:dyDescent="0.55000000000000004">
      <c r="A13" s="13">
        <v>66</v>
      </c>
      <c r="B13" s="8" t="s">
        <v>283</v>
      </c>
      <c r="D13" s="133"/>
      <c r="E13" s="53"/>
      <c r="F13" s="53">
        <v>1</v>
      </c>
      <c r="G13" s="53">
        <v>4.7970002031892417E-2</v>
      </c>
      <c r="H13" s="53">
        <v>0.328993739407409</v>
      </c>
      <c r="I13" s="328">
        <v>0.33484000000000003</v>
      </c>
      <c r="J13" s="53"/>
      <c r="K13" s="134"/>
    </row>
    <row r="14" spans="1:11" x14ac:dyDescent="0.55000000000000004">
      <c r="A14" s="13">
        <v>67</v>
      </c>
      <c r="B14" s="8" t="s">
        <v>284</v>
      </c>
      <c r="D14" s="133"/>
      <c r="E14" s="53"/>
      <c r="F14" s="53">
        <v>0</v>
      </c>
      <c r="G14" s="53">
        <v>0.95202999796810761</v>
      </c>
      <c r="H14" s="53">
        <v>0.51603876203526999</v>
      </c>
      <c r="I14" s="328">
        <v>0.4706206896551724</v>
      </c>
      <c r="J14" s="53"/>
      <c r="K14" s="134"/>
    </row>
    <row r="15" spans="1:11" x14ac:dyDescent="0.55000000000000004">
      <c r="A15" s="13">
        <v>68</v>
      </c>
      <c r="B15" s="30" t="s">
        <v>280</v>
      </c>
      <c r="C15" s="31"/>
      <c r="D15" s="135"/>
      <c r="E15" s="136"/>
      <c r="F15" s="136">
        <v>0</v>
      </c>
      <c r="G15" s="136">
        <v>0</v>
      </c>
      <c r="H15" s="136">
        <v>0.41022886119630197</v>
      </c>
      <c r="I15" s="136">
        <v>0.41022886119630197</v>
      </c>
      <c r="J15" s="136"/>
      <c r="K15" s="137"/>
    </row>
    <row r="18" spans="1:7" x14ac:dyDescent="0.55000000000000004">
      <c r="E18" s="14" t="s">
        <v>100</v>
      </c>
    </row>
    <row r="19" spans="1:7" x14ac:dyDescent="0.55000000000000004">
      <c r="A19" s="13">
        <v>101</v>
      </c>
      <c r="B19" s="10" t="s">
        <v>285</v>
      </c>
      <c r="E19" s="15">
        <v>5.3999999999999999E-2</v>
      </c>
      <c r="F19" t="s">
        <v>463</v>
      </c>
      <c r="G19" t="s">
        <v>515</v>
      </c>
    </row>
    <row r="23" spans="1:7" x14ac:dyDescent="0.55000000000000004">
      <c r="B23" s="10" t="s">
        <v>286</v>
      </c>
    </row>
    <row r="24" spans="1:7" x14ac:dyDescent="0.55000000000000004">
      <c r="B24" s="10"/>
      <c r="C24" s="14" t="s">
        <v>265</v>
      </c>
    </row>
    <row r="25" spans="1:7" ht="15" customHeight="1" x14ac:dyDescent="0.55000000000000004">
      <c r="C25" s="141" t="s">
        <v>287</v>
      </c>
      <c r="D25" s="141" t="s">
        <v>288</v>
      </c>
      <c r="E25" s="141" t="s">
        <v>468</v>
      </c>
      <c r="F25" s="141" t="s">
        <v>290</v>
      </c>
      <c r="G25" s="141" t="s">
        <v>291</v>
      </c>
    </row>
    <row r="26" spans="1:7" x14ac:dyDescent="0.55000000000000004">
      <c r="B26" s="140" t="s">
        <v>292</v>
      </c>
      <c r="C26" s="142" t="s">
        <v>96</v>
      </c>
      <c r="D26" s="16"/>
      <c r="E26" s="16"/>
      <c r="F26" s="16"/>
      <c r="G26" s="16"/>
    </row>
    <row r="27" spans="1:7" x14ac:dyDescent="0.55000000000000004">
      <c r="A27" s="13">
        <v>137</v>
      </c>
      <c r="B27" s="128" t="s">
        <v>293</v>
      </c>
      <c r="C27" s="333">
        <f>10^6/$I$6/(1-$E$19)</f>
        <v>3276279.7405536184</v>
      </c>
      <c r="D27" s="143">
        <f>10^6/$I$7/(1-$E$19)</f>
        <v>3193046.1757073104</v>
      </c>
      <c r="E27" s="143">
        <f>10^6/$I$8/(1-$E$19)</f>
        <v>2880513.5963993738</v>
      </c>
      <c r="F27" s="143">
        <f>10^6/$I$9/(1-$E$19)</f>
        <v>5004362.2332302639</v>
      </c>
      <c r="G27" s="143">
        <f>10^6/$I$10/(1-$E$19)</f>
        <v>3003948.2587261973</v>
      </c>
    </row>
    <row r="28" spans="1:7" x14ac:dyDescent="0.55000000000000004">
      <c r="B28" s="8"/>
    </row>
    <row r="29" spans="1:7" x14ac:dyDescent="0.55000000000000004">
      <c r="C29" s="141" t="s">
        <v>294</v>
      </c>
      <c r="D29" s="141" t="s">
        <v>295</v>
      </c>
      <c r="E29" s="141" t="s">
        <v>296</v>
      </c>
      <c r="F29" s="141" t="s">
        <v>297</v>
      </c>
      <c r="G29" s="141" t="s">
        <v>298</v>
      </c>
    </row>
    <row r="30" spans="1:7" x14ac:dyDescent="0.55000000000000004">
      <c r="A30" s="13">
        <v>138</v>
      </c>
      <c r="B30" s="128" t="s">
        <v>299</v>
      </c>
      <c r="C30" s="333">
        <f>10^6/$I$11/(1-$E$19)</f>
        <v>2289837.9423293835</v>
      </c>
      <c r="D30" s="143">
        <f>10^6/$I$12/(1-$E$19)</f>
        <v>3123203.8066651132</v>
      </c>
      <c r="E30" s="143">
        <f>10^6/$I$13/(1-$E$19)</f>
        <v>3156977.8175585046</v>
      </c>
      <c r="F30" s="143">
        <f>10^6/$I$14/(1-$E$19)</f>
        <v>2246145.3048437429</v>
      </c>
      <c r="G30" s="143">
        <f>10^6/$I$15/(1-$E$19)</f>
        <v>2576811.5128434529</v>
      </c>
    </row>
    <row r="33" spans="1:9" x14ac:dyDescent="0.55000000000000004">
      <c r="B33" s="9" t="s">
        <v>300</v>
      </c>
    </row>
    <row r="34" spans="1:9" x14ac:dyDescent="0.55000000000000004">
      <c r="C34" s="14" t="s">
        <v>301</v>
      </c>
      <c r="D34" s="14" t="s">
        <v>302</v>
      </c>
      <c r="E34" s="14" t="s">
        <v>303</v>
      </c>
      <c r="F34" s="14" t="s">
        <v>304</v>
      </c>
      <c r="G34" s="14" t="s">
        <v>305</v>
      </c>
      <c r="H34" s="14" t="s">
        <v>306</v>
      </c>
      <c r="I34" s="14" t="s">
        <v>307</v>
      </c>
    </row>
    <row r="35" spans="1:9" x14ac:dyDescent="0.55000000000000004">
      <c r="B35" s="144" t="s">
        <v>308</v>
      </c>
      <c r="C35" s="144" t="s">
        <v>309</v>
      </c>
      <c r="D35" s="144" t="s">
        <v>310</v>
      </c>
      <c r="E35" s="144" t="s">
        <v>311</v>
      </c>
      <c r="F35" s="144" t="s">
        <v>295</v>
      </c>
      <c r="G35" s="144" t="s">
        <v>296</v>
      </c>
      <c r="H35" s="144" t="s">
        <v>297</v>
      </c>
      <c r="I35" s="144" t="s">
        <v>298</v>
      </c>
    </row>
    <row r="36" spans="1:9" ht="15" customHeight="1" x14ac:dyDescent="0.55000000000000004">
      <c r="A36" s="13">
        <v>107</v>
      </c>
      <c r="B36" s="38" t="s">
        <v>185</v>
      </c>
      <c r="C36" s="43">
        <v>1.1319449707586301E-2</v>
      </c>
      <c r="D36" s="43">
        <v>0.10926028000013201</v>
      </c>
      <c r="E36" s="43">
        <v>0.109869740501257</v>
      </c>
      <c r="F36" s="43">
        <v>2.5051561742428601E-2</v>
      </c>
      <c r="G36" s="43">
        <v>1.7131637658183398E-2</v>
      </c>
      <c r="H36" s="43">
        <v>4.4122602949516502E-3</v>
      </c>
      <c r="I36" s="43">
        <v>9.3365985523953796E-2</v>
      </c>
    </row>
    <row r="37" spans="1:9" x14ac:dyDescent="0.55000000000000004">
      <c r="A37" s="13">
        <v>108</v>
      </c>
      <c r="B37" s="38" t="s">
        <v>186</v>
      </c>
      <c r="C37" s="43">
        <v>8.1784221851779998E-2</v>
      </c>
      <c r="D37" s="43">
        <v>0.140866613857448</v>
      </c>
      <c r="E37" s="43">
        <v>1.75678792174419</v>
      </c>
      <c r="F37" s="43">
        <v>0.33892163548401499</v>
      </c>
      <c r="G37" s="43">
        <v>0.150951360251704</v>
      </c>
      <c r="H37" s="43">
        <v>3.3549458711825603E-2</v>
      </c>
      <c r="I37" s="43">
        <v>0.18256462164696499</v>
      </c>
    </row>
    <row r="38" spans="1:9" x14ac:dyDescent="0.55000000000000004">
      <c r="A38" s="13">
        <v>109</v>
      </c>
      <c r="B38" s="38" t="s">
        <v>187</v>
      </c>
      <c r="C38" s="43">
        <v>2.25149016077915</v>
      </c>
      <c r="D38" s="43">
        <v>7.9298172229368697</v>
      </c>
      <c r="E38" s="43">
        <v>4.65714486835284</v>
      </c>
      <c r="F38" s="43">
        <v>0.65372437802114602</v>
      </c>
      <c r="G38" s="43">
        <v>0.26417327793786199</v>
      </c>
      <c r="H38" s="43">
        <v>4.98845408080602E-2</v>
      </c>
      <c r="I38" s="43">
        <v>0.16673237300337801</v>
      </c>
    </row>
    <row r="39" spans="1:9" x14ac:dyDescent="0.55000000000000004">
      <c r="A39" s="13">
        <v>110</v>
      </c>
      <c r="B39" s="38" t="s">
        <v>312</v>
      </c>
      <c r="C39" s="43">
        <v>0.160668861240955</v>
      </c>
      <c r="D39" s="43">
        <v>0.214220366823313</v>
      </c>
      <c r="E39" s="43">
        <v>0.28978999259057098</v>
      </c>
      <c r="F39" s="43">
        <v>3.5658514898826203E-2</v>
      </c>
      <c r="G39" s="43">
        <v>4.0970272094776002E-2</v>
      </c>
      <c r="H39" s="43">
        <v>1.7084502761494501E-2</v>
      </c>
      <c r="I39" s="43">
        <v>5.4433758760988903E-2</v>
      </c>
    </row>
    <row r="40" spans="1:9" x14ac:dyDescent="0.55000000000000004">
      <c r="A40" s="13">
        <v>111</v>
      </c>
      <c r="B40" s="38" t="s">
        <v>313</v>
      </c>
      <c r="C40" s="43">
        <v>0.130803502361102</v>
      </c>
      <c r="D40" s="43">
        <v>0.20774869149137401</v>
      </c>
      <c r="E40" s="43">
        <v>0.25238646300510997</v>
      </c>
      <c r="F40" s="43">
        <v>3.5478902072326401E-2</v>
      </c>
      <c r="G40" s="43">
        <v>4.0560529726216502E-2</v>
      </c>
      <c r="H40" s="43">
        <v>1.6500810179488502E-2</v>
      </c>
      <c r="I40" s="43">
        <v>5.4419612707112597E-2</v>
      </c>
    </row>
    <row r="41" spans="1:9" x14ac:dyDescent="0.55000000000000004">
      <c r="A41" s="13">
        <v>112</v>
      </c>
      <c r="B41" s="38" t="s">
        <v>314</v>
      </c>
      <c r="C41" s="43">
        <v>2.7373438914475101</v>
      </c>
      <c r="D41" s="43">
        <v>1.4726594208097001E-3</v>
      </c>
      <c r="E41" s="43">
        <v>1.0669116865220301</v>
      </c>
      <c r="F41" s="43">
        <v>1.0305927812768199E-2</v>
      </c>
      <c r="G41" s="43">
        <v>4.6500044388408301E-3</v>
      </c>
      <c r="H41" s="43">
        <v>7.2096371191976098E-3</v>
      </c>
      <c r="I41" s="43">
        <v>1.12004515336775E-2</v>
      </c>
    </row>
    <row r="42" spans="1:9" x14ac:dyDescent="0.55000000000000004">
      <c r="A42" s="13">
        <v>113</v>
      </c>
      <c r="B42" s="38" t="s">
        <v>188</v>
      </c>
      <c r="C42" s="43">
        <v>8.2929420496938664E-3</v>
      </c>
      <c r="D42" s="43">
        <v>3.1162303723706101E-2</v>
      </c>
      <c r="E42" s="43">
        <v>1.5143187780306598E-2</v>
      </c>
      <c r="F42" s="43">
        <v>5.8540188419338567E-3</v>
      </c>
      <c r="G42" s="43">
        <v>1.1762553620602784E-3</v>
      </c>
      <c r="H42" s="43">
        <v>4.7852349520516654E-4</v>
      </c>
      <c r="I42" s="43">
        <v>1.0883922541422519E-2</v>
      </c>
    </row>
    <row r="43" spans="1:9" x14ac:dyDescent="0.55000000000000004">
      <c r="A43" s="13">
        <v>114</v>
      </c>
      <c r="B43" s="38" t="s">
        <v>189</v>
      </c>
      <c r="C43" s="43">
        <v>5.7553541038884879E-3</v>
      </c>
      <c r="D43" s="43">
        <v>8.1021989681635861E-2</v>
      </c>
      <c r="E43" s="43">
        <v>1.0095458520204399E-2</v>
      </c>
      <c r="F43" s="43">
        <v>1.5184970086955699E-2</v>
      </c>
      <c r="G43" s="43">
        <v>2.758116021382722E-2</v>
      </c>
      <c r="H43" s="43">
        <v>1.1220550922052182E-2</v>
      </c>
      <c r="I43" s="43">
        <v>2.329159423864419E-2</v>
      </c>
    </row>
    <row r="44" spans="1:9" x14ac:dyDescent="0.55000000000000004">
      <c r="A44" s="13">
        <v>115</v>
      </c>
      <c r="B44" s="38" t="s">
        <v>179</v>
      </c>
      <c r="C44" s="43">
        <v>2.93E-2</v>
      </c>
      <c r="D44" s="43">
        <v>7.0413436548348696E-2</v>
      </c>
      <c r="E44" s="43">
        <v>4.7950866473962399E-2</v>
      </c>
      <c r="F44" s="43">
        <v>0.01</v>
      </c>
      <c r="G44" s="43">
        <v>2.9940453061075799E-2</v>
      </c>
      <c r="H44" s="43">
        <v>9.0447853411960901E-3</v>
      </c>
      <c r="I44" s="43">
        <v>8.3051925782290804E-3</v>
      </c>
    </row>
    <row r="45" spans="1:9" x14ac:dyDescent="0.55000000000000004">
      <c r="A45" s="13">
        <v>116</v>
      </c>
      <c r="B45" s="38" t="s">
        <v>180</v>
      </c>
      <c r="C45" s="43">
        <v>5.8999999999999999E-3</v>
      </c>
      <c r="D45" s="43">
        <v>6.8974501009871306E-2</v>
      </c>
      <c r="E45" s="43">
        <v>1.0154810309636201E-2</v>
      </c>
      <c r="F45" s="43">
        <v>1E-3</v>
      </c>
      <c r="G45" s="43">
        <v>8.0954810320013997E-3</v>
      </c>
      <c r="H45" s="43">
        <v>8.1385974938353992E-4</v>
      </c>
      <c r="I45" s="43">
        <v>2.0391313373897399E-3</v>
      </c>
    </row>
    <row r="46" spans="1:9" x14ac:dyDescent="0.55000000000000004">
      <c r="A46" s="13">
        <v>117</v>
      </c>
      <c r="B46" s="42" t="s">
        <v>315</v>
      </c>
      <c r="C46" s="44">
        <v>876.66992375955556</v>
      </c>
      <c r="D46" s="44">
        <v>790.3271614388201</v>
      </c>
      <c r="E46" s="44">
        <v>1371.1256177491089</v>
      </c>
      <c r="F46" s="44">
        <v>598.32162754034528</v>
      </c>
      <c r="G46" s="44">
        <v>615.82263821218203</v>
      </c>
      <c r="H46" s="44">
        <v>392.75605710410525</v>
      </c>
      <c r="I46" s="44">
        <v>493.57340454816369</v>
      </c>
    </row>
    <row r="48" spans="1:9" x14ac:dyDescent="0.55000000000000004">
      <c r="A48" t="s">
        <v>491</v>
      </c>
    </row>
    <row r="50" spans="2:16" x14ac:dyDescent="0.55000000000000004">
      <c r="B50" s="37" t="s">
        <v>492</v>
      </c>
      <c r="C50" s="561" t="s">
        <v>287</v>
      </c>
      <c r="D50" s="562"/>
      <c r="E50" s="561" t="s">
        <v>288</v>
      </c>
      <c r="F50" s="562"/>
      <c r="G50" s="561" t="s">
        <v>289</v>
      </c>
      <c r="H50" s="562"/>
      <c r="I50" s="561" t="s">
        <v>290</v>
      </c>
      <c r="J50" s="562"/>
      <c r="K50" s="559" t="s">
        <v>316</v>
      </c>
      <c r="L50" s="560"/>
      <c r="M50" s="559" t="s">
        <v>317</v>
      </c>
      <c r="N50" s="560"/>
      <c r="O50" s="559" t="s">
        <v>318</v>
      </c>
      <c r="P50" s="560"/>
    </row>
    <row r="51" spans="2:16" x14ac:dyDescent="0.55000000000000004">
      <c r="B51" s="38"/>
      <c r="C51" s="561" t="s">
        <v>96</v>
      </c>
      <c r="D51" s="562"/>
      <c r="E51" s="561" t="s">
        <v>96</v>
      </c>
      <c r="F51" s="562"/>
      <c r="G51" s="561" t="s">
        <v>96</v>
      </c>
      <c r="H51" s="562"/>
      <c r="I51" s="561" t="s">
        <v>96</v>
      </c>
      <c r="J51" s="562"/>
      <c r="K51" s="561" t="s">
        <v>96</v>
      </c>
      <c r="L51" s="562"/>
      <c r="M51" s="561" t="s">
        <v>96</v>
      </c>
      <c r="N51" s="562"/>
      <c r="O51" s="561" t="s">
        <v>96</v>
      </c>
      <c r="P51" s="562"/>
    </row>
    <row r="52" spans="2:16" x14ac:dyDescent="0.55000000000000004">
      <c r="B52" s="42"/>
      <c r="C52" s="11" t="s">
        <v>95</v>
      </c>
      <c r="D52" s="12" t="s">
        <v>39</v>
      </c>
      <c r="E52" s="11" t="s">
        <v>95</v>
      </c>
      <c r="F52" s="12" t="s">
        <v>39</v>
      </c>
      <c r="G52" s="11" t="s">
        <v>95</v>
      </c>
      <c r="H52" s="12" t="s">
        <v>39</v>
      </c>
      <c r="I52" s="11" t="s">
        <v>95</v>
      </c>
      <c r="J52" s="12" t="s">
        <v>39</v>
      </c>
      <c r="K52" s="11" t="s">
        <v>95</v>
      </c>
      <c r="L52" s="12" t="s">
        <v>39</v>
      </c>
      <c r="M52" s="11" t="s">
        <v>95</v>
      </c>
      <c r="N52" s="12" t="s">
        <v>39</v>
      </c>
      <c r="O52" s="11" t="s">
        <v>95</v>
      </c>
      <c r="P52" s="12" t="s">
        <v>39</v>
      </c>
    </row>
    <row r="53" spans="2:16" x14ac:dyDescent="0.55000000000000004">
      <c r="B53" s="38" t="s">
        <v>185</v>
      </c>
      <c r="C53" s="124">
        <f>$C$27*($C101*$F$100+$F101)/10^6</f>
        <v>20.03640147994928</v>
      </c>
      <c r="D53" s="125">
        <f t="shared" ref="D53:D63" si="0">(C36*$G$7+D36*$G$8+E36*$G$9)/(1-$E$19)/kWh2mmBTU</f>
        <v>7.751766772821453</v>
      </c>
      <c r="E53" s="125">
        <f t="shared" ref="E53:E63" si="1">$D$27*($C101*$F$100+$F101)/10^6</f>
        <v>19.527378669343307</v>
      </c>
      <c r="F53" s="125">
        <f t="shared" ref="F53:F63" si="2">C36/(1-$E$19)/kWh2mmBTU</f>
        <v>3.5067687434724331</v>
      </c>
      <c r="G53" s="125">
        <f t="shared" ref="G53:G63" si="3">$E$27*($C101*$F$100+$F101)/10^6</f>
        <v>17.616055848807914</v>
      </c>
      <c r="H53" s="125">
        <f t="shared" ref="H53:H63" si="4">D36/(1-$E$19)/kWh2mmBTU</f>
        <v>33.848865864099508</v>
      </c>
      <c r="I53" s="125">
        <f t="shared" ref="I53:I63" si="5">$F$27*($C101*$F$100+$F101)/10^6</f>
        <v>30.604654912389698</v>
      </c>
      <c r="J53" s="125">
        <f t="shared" ref="J53:J63" si="6">E36/(1-$E$19)/kWh2mmBTU</f>
        <v>34.037676900937612</v>
      </c>
      <c r="K53" s="161">
        <f t="shared" ref="K53:K63" si="7">$G$27*($C217*$D$216+$D217)/10^6</f>
        <v>181.31599705536135</v>
      </c>
      <c r="L53" s="161"/>
      <c r="M53" s="161">
        <f t="shared" ref="M53:M63" si="8">$G$27*($E217*$F$216+$F217)/10^6</f>
        <v>692.56918513690709</v>
      </c>
      <c r="N53" s="161"/>
      <c r="O53" s="161">
        <f t="shared" ref="O53:O63" si="9">$G$27*($C243*$D$241+$D243)/10^6</f>
        <v>63.830599958030383</v>
      </c>
      <c r="P53" s="161"/>
    </row>
    <row r="54" spans="2:16" x14ac:dyDescent="0.55000000000000004">
      <c r="B54" s="38" t="s">
        <v>186</v>
      </c>
      <c r="C54" s="124">
        <f t="shared" ref="C54:C63" si="10">$C$27*($C102*$F$100+$F102)/10^6</f>
        <v>35.608989221117838</v>
      </c>
      <c r="D54" s="125">
        <f t="shared" si="0"/>
        <v>57.788744450146154</v>
      </c>
      <c r="E54" s="125">
        <f t="shared" si="1"/>
        <v>34.704346349277301</v>
      </c>
      <c r="F54" s="125">
        <f t="shared" si="2"/>
        <v>25.336775223871953</v>
      </c>
      <c r="G54" s="125">
        <f t="shared" si="3"/>
        <v>31.30751514769501</v>
      </c>
      <c r="H54" s="125">
        <f t="shared" si="4"/>
        <v>43.640517095369859</v>
      </c>
      <c r="I54" s="125">
        <f t="shared" si="5"/>
        <v>54.391045616743881</v>
      </c>
      <c r="J54" s="125">
        <f t="shared" si="6"/>
        <v>544.25339853345952</v>
      </c>
      <c r="K54" s="161">
        <f t="shared" si="7"/>
        <v>122.51873948445787</v>
      </c>
      <c r="L54" s="161"/>
      <c r="M54" s="161">
        <f t="shared" si="8"/>
        <v>6697.9683746593146</v>
      </c>
      <c r="N54" s="161"/>
      <c r="O54" s="161">
        <f t="shared" si="9"/>
        <v>51.847427661731558</v>
      </c>
      <c r="P54" s="161"/>
    </row>
    <row r="55" spans="2:16" x14ac:dyDescent="0.55000000000000004">
      <c r="B55" s="38" t="s">
        <v>187</v>
      </c>
      <c r="C55" s="124">
        <f t="shared" si="10"/>
        <v>85.296707776956325</v>
      </c>
      <c r="D55" s="125">
        <f t="shared" si="0"/>
        <v>882.4198492888346</v>
      </c>
      <c r="E55" s="125">
        <f t="shared" si="1"/>
        <v>83.129753298053927</v>
      </c>
      <c r="F55" s="125">
        <f t="shared" si="2"/>
        <v>697.51229309005248</v>
      </c>
      <c r="G55" s="125">
        <f t="shared" si="3"/>
        <v>74.993085431132741</v>
      </c>
      <c r="H55" s="125">
        <f t="shared" si="4"/>
        <v>2456.6596342759867</v>
      </c>
      <c r="I55" s="125">
        <f t="shared" si="5"/>
        <v>130.2866839282012</v>
      </c>
      <c r="J55" s="125">
        <f t="shared" si="6"/>
        <v>1442.7848066869699</v>
      </c>
      <c r="K55" s="161">
        <f t="shared" si="7"/>
        <v>284.34304992154659</v>
      </c>
      <c r="L55" s="161"/>
      <c r="M55" s="161">
        <f t="shared" si="8"/>
        <v>1002.0969290579053</v>
      </c>
      <c r="N55" s="161"/>
      <c r="O55" s="161">
        <f t="shared" si="9"/>
        <v>99.264478461466467</v>
      </c>
      <c r="P55" s="161"/>
    </row>
    <row r="56" spans="2:16" x14ac:dyDescent="0.55000000000000004">
      <c r="B56" s="38" t="s">
        <v>312</v>
      </c>
      <c r="C56" s="124">
        <f t="shared" si="10"/>
        <v>5.799660006696433</v>
      </c>
      <c r="D56" s="125">
        <f t="shared" si="0"/>
        <v>53.488347621884067</v>
      </c>
      <c r="E56" s="125">
        <f t="shared" si="1"/>
        <v>5.6523202141632298</v>
      </c>
      <c r="F56" s="125">
        <f t="shared" si="2"/>
        <v>49.775258974955321</v>
      </c>
      <c r="G56" s="125">
        <f t="shared" si="3"/>
        <v>5.0990760334036107</v>
      </c>
      <c r="H56" s="125">
        <f t="shared" si="4"/>
        <v>66.365530657177089</v>
      </c>
      <c r="I56" s="125">
        <f t="shared" si="5"/>
        <v>8.8587061549827446</v>
      </c>
      <c r="J56" s="125">
        <f t="shared" si="6"/>
        <v>89.777022243991837</v>
      </c>
      <c r="K56" s="161">
        <f t="shared" si="7"/>
        <v>49.935341063453883</v>
      </c>
      <c r="L56" s="161"/>
      <c r="M56" s="161">
        <f t="shared" si="8"/>
        <v>939.62418222749636</v>
      </c>
      <c r="N56" s="161"/>
      <c r="O56" s="161">
        <f t="shared" si="9"/>
        <v>6.7125838318058877</v>
      </c>
      <c r="P56" s="161"/>
    </row>
    <row r="57" spans="2:16" x14ac:dyDescent="0.55000000000000004">
      <c r="B57" s="38" t="s">
        <v>313</v>
      </c>
      <c r="C57" s="124">
        <f t="shared" si="10"/>
        <v>5.0569345104714234</v>
      </c>
      <c r="D57" s="125">
        <f t="shared" si="0"/>
        <v>44.674992330908864</v>
      </c>
      <c r="E57" s="125">
        <f t="shared" si="1"/>
        <v>4.9284635861816275</v>
      </c>
      <c r="F57" s="125">
        <f t="shared" si="2"/>
        <v>40.522962287576199</v>
      </c>
      <c r="G57" s="125">
        <f t="shared" si="3"/>
        <v>4.4460698618649461</v>
      </c>
      <c r="H57" s="125">
        <f t="shared" si="4"/>
        <v>64.360603796047513</v>
      </c>
      <c r="I57" s="125">
        <f t="shared" si="5"/>
        <v>7.7242281136365021</v>
      </c>
      <c r="J57" s="125">
        <f t="shared" si="6"/>
        <v>78.189398124955915</v>
      </c>
      <c r="K57" s="161">
        <f t="shared" si="7"/>
        <v>19.410224508954986</v>
      </c>
      <c r="L57" s="161"/>
      <c r="M57" s="161">
        <f t="shared" si="8"/>
        <v>382.08865084362384</v>
      </c>
      <c r="N57" s="161"/>
      <c r="O57" s="161">
        <f t="shared" si="9"/>
        <v>5.5272439271146414</v>
      </c>
      <c r="P57" s="161"/>
    </row>
    <row r="58" spans="2:16" x14ac:dyDescent="0.55000000000000004">
      <c r="B58" s="38" t="s">
        <v>314</v>
      </c>
      <c r="C58" s="124">
        <f t="shared" si="10"/>
        <v>39.104963371819814</v>
      </c>
      <c r="D58" s="125">
        <f t="shared" si="0"/>
        <v>749.47837435811391</v>
      </c>
      <c r="E58" s="125">
        <f t="shared" si="1"/>
        <v>38.111505620232684</v>
      </c>
      <c r="F58" s="125">
        <f t="shared" si="2"/>
        <v>848.02991723439652</v>
      </c>
      <c r="G58" s="125">
        <f t="shared" si="3"/>
        <v>34.381184636020251</v>
      </c>
      <c r="H58" s="125">
        <f t="shared" si="4"/>
        <v>0.456230308017056</v>
      </c>
      <c r="I58" s="125">
        <f t="shared" si="5"/>
        <v>59.730980663061366</v>
      </c>
      <c r="J58" s="125">
        <f t="shared" si="6"/>
        <v>330.5295443676398</v>
      </c>
      <c r="K58" s="161">
        <f t="shared" si="7"/>
        <v>75.454526009342018</v>
      </c>
      <c r="L58" s="161"/>
      <c r="M58" s="161">
        <f t="shared" si="8"/>
        <v>245.78796087142067</v>
      </c>
      <c r="N58" s="161"/>
      <c r="O58" s="161">
        <f t="shared" si="9"/>
        <v>54.620479113444709</v>
      </c>
      <c r="P58" s="161"/>
    </row>
    <row r="59" spans="2:16" x14ac:dyDescent="0.55000000000000004">
      <c r="B59" s="38" t="s">
        <v>188</v>
      </c>
      <c r="C59" s="124">
        <f t="shared" si="10"/>
        <v>0.67629046622998712</v>
      </c>
      <c r="D59" s="125">
        <f t="shared" si="0"/>
        <v>3.2613496650617302</v>
      </c>
      <c r="E59" s="125">
        <f t="shared" si="1"/>
        <v>0.65910937339498343</v>
      </c>
      <c r="F59" s="125">
        <f t="shared" si="2"/>
        <v>2.5691558090323308</v>
      </c>
      <c r="G59" s="125">
        <f t="shared" si="3"/>
        <v>0.59459632185179945</v>
      </c>
      <c r="H59" s="125">
        <f t="shared" si="4"/>
        <v>9.654090569407126</v>
      </c>
      <c r="I59" s="125">
        <f t="shared" si="5"/>
        <v>1.0330016774828716</v>
      </c>
      <c r="J59" s="125">
        <f t="shared" si="6"/>
        <v>4.6913638874973556</v>
      </c>
      <c r="K59" s="161">
        <f t="shared" si="7"/>
        <v>2.3196583831654882</v>
      </c>
      <c r="L59" s="161"/>
      <c r="M59" s="161">
        <f t="shared" si="8"/>
        <v>54.812126203843626</v>
      </c>
      <c r="N59" s="161"/>
      <c r="O59" s="161">
        <f t="shared" si="9"/>
        <v>1.141138790823742</v>
      </c>
      <c r="P59" s="161"/>
    </row>
    <row r="60" spans="2:16" x14ac:dyDescent="0.55000000000000004">
      <c r="B60" s="38" t="s">
        <v>189</v>
      </c>
      <c r="C60" s="124">
        <f t="shared" si="10"/>
        <v>1.2275437281282315</v>
      </c>
      <c r="D60" s="125">
        <f t="shared" si="0"/>
        <v>3.7242946251975337</v>
      </c>
      <c r="E60" s="125">
        <f t="shared" si="1"/>
        <v>1.1963581003467727</v>
      </c>
      <c r="F60" s="125">
        <f t="shared" si="2"/>
        <v>1.7830103406533526</v>
      </c>
      <c r="G60" s="125">
        <f t="shared" si="3"/>
        <v>1.0792596112231398</v>
      </c>
      <c r="H60" s="125">
        <f t="shared" si="4"/>
        <v>25.100635480458525</v>
      </c>
      <c r="I60" s="125">
        <f t="shared" si="5"/>
        <v>1.8750149435180887</v>
      </c>
      <c r="J60" s="125">
        <f t="shared" si="6"/>
        <v>3.1275759249982364</v>
      </c>
      <c r="K60" s="161">
        <f t="shared" si="7"/>
        <v>3.9425383360003079</v>
      </c>
      <c r="L60" s="161"/>
      <c r="M60" s="161">
        <f t="shared" si="8"/>
        <v>124.87161324586256</v>
      </c>
      <c r="N60" s="161"/>
      <c r="O60" s="161">
        <f t="shared" si="9"/>
        <v>1.1026274210357221</v>
      </c>
      <c r="P60" s="161"/>
    </row>
    <row r="61" spans="2:16" x14ac:dyDescent="0.55000000000000004">
      <c r="B61" s="38" t="s">
        <v>179</v>
      </c>
      <c r="C61" s="124">
        <f t="shared" si="10"/>
        <v>330.27067721011997</v>
      </c>
      <c r="D61" s="125">
        <f t="shared" si="0"/>
        <v>10.438767395227879</v>
      </c>
      <c r="E61" s="125">
        <f t="shared" si="1"/>
        <v>321.88018311154292</v>
      </c>
      <c r="F61" s="125">
        <f t="shared" si="2"/>
        <v>9.0771483453723292</v>
      </c>
      <c r="G61" s="125">
        <f t="shared" si="3"/>
        <v>290.37483106830877</v>
      </c>
      <c r="H61" s="125">
        <f t="shared" si="4"/>
        <v>21.814102698185081</v>
      </c>
      <c r="I61" s="125">
        <f t="shared" si="5"/>
        <v>504.4728273094355</v>
      </c>
      <c r="J61" s="125">
        <f t="shared" si="6"/>
        <v>14.855192091238813</v>
      </c>
      <c r="K61" s="161">
        <f t="shared" si="7"/>
        <v>526.0767875635363</v>
      </c>
      <c r="L61" s="161">
        <f>D61</f>
        <v>10.438767395227879</v>
      </c>
      <c r="M61" s="161">
        <f t="shared" si="8"/>
        <v>467.4677862412687</v>
      </c>
      <c r="N61" s="161">
        <f>D61</f>
        <v>10.438767395227879</v>
      </c>
      <c r="O61" s="161">
        <f t="shared" si="9"/>
        <v>101.91175523978629</v>
      </c>
      <c r="P61" s="161">
        <f>D61</f>
        <v>10.438767395227879</v>
      </c>
    </row>
    <row r="62" spans="2:16" x14ac:dyDescent="0.55000000000000004">
      <c r="B62" s="38" t="s">
        <v>180</v>
      </c>
      <c r="C62" s="124">
        <f t="shared" si="10"/>
        <v>0.59742577305251188</v>
      </c>
      <c r="D62" s="125">
        <f t="shared" si="0"/>
        <v>3.4660748005071862</v>
      </c>
      <c r="E62" s="125">
        <f t="shared" si="1"/>
        <v>0.58224822999758963</v>
      </c>
      <c r="F62" s="125">
        <f t="shared" si="2"/>
        <v>1.8278216804674656</v>
      </c>
      <c r="G62" s="125">
        <f t="shared" si="3"/>
        <v>0.52525828024269205</v>
      </c>
      <c r="H62" s="125">
        <f t="shared" si="4"/>
        <v>21.368320058519977</v>
      </c>
      <c r="I62" s="125">
        <f t="shared" si="5"/>
        <v>0.91253959141998853</v>
      </c>
      <c r="J62" s="125">
        <f t="shared" si="6"/>
        <v>3.1459631262690819</v>
      </c>
      <c r="K62" s="161">
        <f t="shared" si="7"/>
        <v>115.0042978940543</v>
      </c>
      <c r="L62" s="161">
        <f>D62</f>
        <v>3.4660748005071862</v>
      </c>
      <c r="M62" s="161">
        <f t="shared" si="8"/>
        <v>135.34461346018514</v>
      </c>
      <c r="N62" s="161">
        <f>D62</f>
        <v>3.4660748005071862</v>
      </c>
      <c r="O62" s="161">
        <f t="shared" si="9"/>
        <v>69.118691450057526</v>
      </c>
      <c r="P62" s="161">
        <f>D62</f>
        <v>3.4660748005071862</v>
      </c>
    </row>
    <row r="63" spans="2:16" x14ac:dyDescent="0.55000000000000004">
      <c r="B63" s="38" t="s">
        <v>178</v>
      </c>
      <c r="C63" s="126">
        <f t="shared" si="10"/>
        <v>36442.150579538516</v>
      </c>
      <c r="D63" s="127">
        <f t="shared" si="0"/>
        <v>278606.2355704779</v>
      </c>
      <c r="E63" s="127">
        <f t="shared" si="1"/>
        <v>35516.341325262685</v>
      </c>
      <c r="F63" s="127">
        <f t="shared" si="2"/>
        <v>271592.5920782162</v>
      </c>
      <c r="G63" s="127">
        <f t="shared" si="3"/>
        <v>32040.032762482009</v>
      </c>
      <c r="H63" s="127">
        <f t="shared" si="4"/>
        <v>244843.57971867561</v>
      </c>
      <c r="I63" s="127">
        <f t="shared" si="5"/>
        <v>55663.660157150218</v>
      </c>
      <c r="J63" s="127">
        <f t="shared" si="6"/>
        <v>424775.10690951999</v>
      </c>
      <c r="K63" s="161">
        <f t="shared" si="7"/>
        <v>139880.02620550132</v>
      </c>
      <c r="L63" s="162"/>
      <c r="M63" s="161">
        <f t="shared" si="8"/>
        <v>48833.346269161193</v>
      </c>
      <c r="N63" s="162"/>
      <c r="O63" s="161">
        <f t="shared" si="9"/>
        <v>68787.142260499546</v>
      </c>
      <c r="P63" s="162"/>
    </row>
    <row r="64" spans="2:16" s="10" customFormat="1" x14ac:dyDescent="0.55000000000000004">
      <c r="B64" s="140" t="s">
        <v>319</v>
      </c>
      <c r="C64" s="335">
        <f>C53*Fuel_Specs!$B$19/Fuel_Specs!$B$22+C54*Fuel_Specs!$B$20/Fuel_Specs!$B$22+C63</f>
        <v>36560.554347212783</v>
      </c>
      <c r="D64" s="336">
        <f>D53*Fuel_Specs!$B$19/Fuel_Specs!$B$22+D54*Fuel_Specs!$B$20/Fuel_Specs!$B$22+D63</f>
        <v>278721.20612772246</v>
      </c>
      <c r="E64" s="336">
        <f>E53*Fuel_Specs!$B$19/Fuel_Specs!$B$22+E54*Fuel_Specs!$B$20/Fuel_Specs!$B$22+E63</f>
        <v>35631.737056854814</v>
      </c>
      <c r="F64" s="336">
        <f>F53*Fuel_Specs!$B$19/Fuel_Specs!$B$22+F54*Fuel_Specs!$B$20/Fuel_Specs!$B$22+F63</f>
        <v>271643.33643996133</v>
      </c>
      <c r="G64" s="336">
        <f>G53*Fuel_Specs!$B$19/Fuel_Specs!$B$22+G54*Fuel_Specs!$B$20/Fuel_Specs!$B$22+G63</f>
        <v>32144.133660347648</v>
      </c>
      <c r="H64" s="336">
        <f>H53*Fuel_Specs!$B$19/Fuel_Specs!$B$22+H54*Fuel_Specs!$B$20/Fuel_Specs!$B$22+H63</f>
        <v>245017.6533060543</v>
      </c>
      <c r="I64" s="336">
        <f>I53*Fuel_Specs!$B$19/Fuel_Specs!$B$22+I54*Fuel_Specs!$B$20/Fuel_Specs!$B$22+I63</f>
        <v>55844.516308072525</v>
      </c>
      <c r="J64" s="336">
        <f>J53*Fuel_Specs!$B$19/Fuel_Specs!$B$22+J54*Fuel_Specs!$B$20/Fuel_Specs!$B$22+J63</f>
        <v>425736.44634308049</v>
      </c>
      <c r="K64" s="337">
        <f>K53*Fuel_Specs!$B$19/Fuel_Specs!$B$22+K54*Fuel_Specs!$B$20/Fuel_Specs!$B$22+K63</f>
        <v>140637.65717741847</v>
      </c>
      <c r="L64" s="337">
        <f>L53*Fuel_Specs!$B$19/Fuel_Specs!$B$22+L54*Fuel_Specs!$B$20/Fuel_Specs!$B$22+L63</f>
        <v>0</v>
      </c>
      <c r="M64" s="337">
        <f>M53*Fuel_Specs!$B$19/Fuel_Specs!$B$22+M54*Fuel_Specs!$B$20/Fuel_Specs!$B$22+M63</f>
        <v>61517.232437302526</v>
      </c>
      <c r="N64" s="337">
        <f>N53*Fuel_Specs!$B$19/Fuel_Specs!$B$22+N54*Fuel_Specs!$B$20/Fuel_Specs!$B$22+N63</f>
        <v>0</v>
      </c>
      <c r="O64" s="337">
        <f>O53*Fuel_Specs!$B$19/Fuel_Specs!$B$22+O54*Fuel_Specs!$B$20/Fuel_Specs!$B$22+O63</f>
        <v>69067.5554928848</v>
      </c>
      <c r="P64" s="337">
        <f>P53*Fuel_Specs!$B$19/Fuel_Specs!$B$22+P54*Fuel_Specs!$B$20/Fuel_Specs!$B$22+P63</f>
        <v>0</v>
      </c>
    </row>
    <row r="65" spans="2:19" s="10" customFormat="1" x14ac:dyDescent="0.55000000000000004">
      <c r="B65" s="338" t="s">
        <v>493</v>
      </c>
      <c r="C65" s="339">
        <f>C64+C61*CH4_GWP_20yr+C62*N2O_GWP_20yr</f>
        <v>63970.982453091019</v>
      </c>
      <c r="D65" s="340">
        <f t="shared" ref="D65:P65" si="11">D64+D61*CH4_GWP_20yr+D62*N2O_GWP_20yr</f>
        <v>280528.64285836724</v>
      </c>
      <c r="E65" s="340">
        <f t="shared" si="11"/>
        <v>62345.805930346454</v>
      </c>
      <c r="F65" s="340">
        <f t="shared" si="11"/>
        <v>272891.19649722218</v>
      </c>
      <c r="G65" s="340">
        <f t="shared" si="11"/>
        <v>56243.452733989376</v>
      </c>
      <c r="H65" s="340">
        <f t="shared" si="11"/>
        <v>252650.86815463053</v>
      </c>
      <c r="I65" s="340">
        <f t="shared" si="11"/>
        <v>97712.647869558612</v>
      </c>
      <c r="J65" s="340">
        <f t="shared" si="11"/>
        <v>427820.84762407915</v>
      </c>
      <c r="K65" s="341">
        <f t="shared" si="11"/>
        <v>215435.16547648702</v>
      </c>
      <c r="L65" s="341">
        <f t="shared" si="11"/>
        <v>1807.4367306447618</v>
      </c>
      <c r="M65" s="341">
        <f t="shared" si="11"/>
        <v>137032.40427683774</v>
      </c>
      <c r="N65" s="341">
        <f t="shared" si="11"/>
        <v>1807.4367306447618</v>
      </c>
      <c r="O65" s="341">
        <f t="shared" si="11"/>
        <v>96344.678066032866</v>
      </c>
      <c r="P65" s="341">
        <f t="shared" si="11"/>
        <v>1807.4367306447618</v>
      </c>
    </row>
    <row r="67" spans="2:19" x14ac:dyDescent="0.55000000000000004">
      <c r="B67" s="128" t="s">
        <v>321</v>
      </c>
      <c r="C67" s="129">
        <f>C65+D65</f>
        <v>344499.62531145825</v>
      </c>
      <c r="E67" s="129">
        <f>E65+F65</f>
        <v>335237.00242756866</v>
      </c>
      <c r="G67" s="129">
        <f>G65+H65</f>
        <v>308894.32088861993</v>
      </c>
      <c r="I67" s="129">
        <f>I65+J65</f>
        <v>525533.49549363775</v>
      </c>
      <c r="K67" s="129">
        <f>K65+L65</f>
        <v>217242.60220713177</v>
      </c>
      <c r="M67" s="129">
        <f>M65+N65</f>
        <v>138839.84100748249</v>
      </c>
      <c r="O67" s="129">
        <f>O65+P65</f>
        <v>98152.114796677633</v>
      </c>
    </row>
    <row r="68" spans="2:19" x14ac:dyDescent="0.55000000000000004">
      <c r="B68" s="128" t="s">
        <v>322</v>
      </c>
      <c r="C68" s="129">
        <f>C67/mmBTU2kWh</f>
        <v>1175.4815170412539</v>
      </c>
      <c r="E68" s="129">
        <f>E67/mmBTU2kWh</f>
        <v>1143.8761357886856</v>
      </c>
      <c r="G68" s="129">
        <f>G67/mmBTU2kWh</f>
        <v>1053.9911751581983</v>
      </c>
      <c r="I68" s="129">
        <f>I67/mmBTU2kWh</f>
        <v>1793.1947240301031</v>
      </c>
      <c r="K68" s="129">
        <f>K67/mmBTU2kWh</f>
        <v>741.26252932076943</v>
      </c>
      <c r="M68" s="129">
        <f>M67/mmBTU2kWh</f>
        <v>473.74120301492758</v>
      </c>
      <c r="O68" s="129">
        <f>O67/mmBTU2kWh</f>
        <v>334.90891810896977</v>
      </c>
    </row>
    <row r="69" spans="2:19" x14ac:dyDescent="0.55000000000000004">
      <c r="B69" s="128" t="s">
        <v>323</v>
      </c>
      <c r="C69" s="129">
        <f>C67*g2lb</f>
        <v>759.49166718006802</v>
      </c>
      <c r="E69" s="129">
        <f>E67*g2lb</f>
        <v>739.07107923259082</v>
      </c>
      <c r="G69" s="129">
        <f>G67*g2lb</f>
        <v>680.99540759166632</v>
      </c>
      <c r="I69" s="129">
        <f>I67*g2lb</f>
        <v>1158.6030327045355</v>
      </c>
      <c r="K69" s="129">
        <f>K67*g2lb</f>
        <v>478.93795525513752</v>
      </c>
      <c r="M69" s="129">
        <f>M67*g2lb</f>
        <v>306.08945429898324</v>
      </c>
      <c r="O69" s="129">
        <f>O67*g2lb</f>
        <v>216.38837266305347</v>
      </c>
    </row>
    <row r="72" spans="2:19" ht="15" customHeight="1" x14ac:dyDescent="0.55000000000000004">
      <c r="B72" s="37"/>
      <c r="C72" s="561" t="s">
        <v>294</v>
      </c>
      <c r="D72" s="562"/>
      <c r="E72" s="561" t="s">
        <v>295</v>
      </c>
      <c r="F72" s="562"/>
      <c r="G72" s="561" t="s">
        <v>296</v>
      </c>
      <c r="H72" s="562"/>
      <c r="I72" s="561" t="s">
        <v>297</v>
      </c>
      <c r="J72" s="562"/>
      <c r="K72" s="561" t="s">
        <v>298</v>
      </c>
      <c r="L72" s="562"/>
      <c r="M72" s="559" t="s">
        <v>324</v>
      </c>
      <c r="N72" s="560"/>
      <c r="O72" s="559" t="s">
        <v>325</v>
      </c>
      <c r="P72" s="560"/>
      <c r="R72" s="561" t="s">
        <v>326</v>
      </c>
      <c r="S72" s="562"/>
    </row>
    <row r="73" spans="2:19" x14ac:dyDescent="0.55000000000000004">
      <c r="B73" s="38"/>
      <c r="C73" s="561" t="s">
        <v>96</v>
      </c>
      <c r="D73" s="562"/>
      <c r="E73" s="561" t="s">
        <v>96</v>
      </c>
      <c r="F73" s="562"/>
      <c r="G73" s="561" t="s">
        <v>96</v>
      </c>
      <c r="H73" s="562"/>
      <c r="I73" s="561" t="s">
        <v>96</v>
      </c>
      <c r="J73" s="562"/>
      <c r="K73" s="561" t="s">
        <v>96</v>
      </c>
      <c r="L73" s="562"/>
      <c r="M73" s="561" t="s">
        <v>96</v>
      </c>
      <c r="N73" s="562"/>
      <c r="O73" s="561" t="s">
        <v>96</v>
      </c>
      <c r="P73" s="562"/>
      <c r="R73" s="561" t="s">
        <v>96</v>
      </c>
      <c r="S73" s="562"/>
    </row>
    <row r="74" spans="2:19" x14ac:dyDescent="0.55000000000000004">
      <c r="B74" s="42"/>
      <c r="C74" s="11" t="s">
        <v>95</v>
      </c>
      <c r="D74" s="12" t="s">
        <v>39</v>
      </c>
      <c r="E74" s="11" t="s">
        <v>95</v>
      </c>
      <c r="F74" s="12" t="s">
        <v>39</v>
      </c>
      <c r="G74" s="11" t="s">
        <v>95</v>
      </c>
      <c r="H74" s="12" t="s">
        <v>39</v>
      </c>
      <c r="I74" s="11" t="s">
        <v>95</v>
      </c>
      <c r="J74" s="12" t="s">
        <v>39</v>
      </c>
      <c r="K74" s="11" t="s">
        <v>95</v>
      </c>
      <c r="L74" s="12" t="s">
        <v>39</v>
      </c>
      <c r="M74" s="11" t="s">
        <v>95</v>
      </c>
      <c r="N74" s="12" t="s">
        <v>39</v>
      </c>
      <c r="O74" s="11" t="s">
        <v>95</v>
      </c>
      <c r="P74" s="12" t="s">
        <v>39</v>
      </c>
      <c r="R74" s="11" t="s">
        <v>95</v>
      </c>
      <c r="S74" s="12" t="s">
        <v>39</v>
      </c>
    </row>
    <row r="75" spans="2:19" x14ac:dyDescent="0.55000000000000004">
      <c r="B75" s="38" t="s">
        <v>185</v>
      </c>
      <c r="C75" s="124">
        <f t="shared" ref="C75:C86" si="12">$C$30*$C131/10^6</f>
        <v>21.425581449080237</v>
      </c>
      <c r="D75" s="125">
        <f t="shared" ref="D75:D85" si="13">(F36*$G$12+G36*$G$13+H36*$G$14+I36*$G$15)/(1-$E$19)/kWh2mmBTU</f>
        <v>1.5559436931391779</v>
      </c>
      <c r="E75" s="125">
        <f t="shared" ref="E75:E85" si="14">$D$30*$C131/10^6</f>
        <v>29.223228554641171</v>
      </c>
      <c r="F75" s="125">
        <f t="shared" ref="F75:F85" si="15">F36/(1-$E$19)/kWh2mmBTU</f>
        <v>7.7609809631153075</v>
      </c>
      <c r="G75" s="125">
        <f t="shared" ref="G75:G85" si="16">$E$30*$C131/10^6</f>
        <v>29.539245600162896</v>
      </c>
      <c r="H75" s="125">
        <f>G36/(1-$E$19)/kWh2mmBTU</f>
        <v>5.3073862260238123</v>
      </c>
      <c r="I75" s="125">
        <f t="shared" ref="I75:I85" si="17">$F$30*$C131/10^6</f>
        <v>21.016757686547319</v>
      </c>
      <c r="J75" s="125">
        <f t="shared" ref="J75:J85" si="18">H36/(1-$E$19)/kWh2mmBTU</f>
        <v>1.366919496098034</v>
      </c>
      <c r="K75" s="125">
        <f t="shared" ref="K75:K85" si="19">$G$30*$C131/10^6</f>
        <v>24.110738985830544</v>
      </c>
      <c r="L75" s="125">
        <f t="shared" ref="L75:L85" si="20">I36/(1-$E$19)/kWh2mmBTU</f>
        <v>28.924808908287169</v>
      </c>
      <c r="M75" s="161">
        <f t="shared" ref="M75:M85" si="21">$F$30*$C267/10^6</f>
        <v>31.021513658101412</v>
      </c>
      <c r="N75" s="161">
        <v>0</v>
      </c>
      <c r="O75" s="161">
        <f t="shared" ref="O75:O85" si="22">$F$30*($E267*$F$266+$F267)/10^6</f>
        <v>38.778300393805154</v>
      </c>
      <c r="P75" s="161">
        <v>0</v>
      </c>
      <c r="R75" s="125">
        <f t="shared" ref="R75:R85" si="23">$F$30*$C156/10^6</f>
        <v>22.70410552769933</v>
      </c>
      <c r="S75" s="125">
        <f t="shared" ref="S75:S85" si="24">H36/(1-$E$19)/kWh2mmBTU</f>
        <v>1.366919496098034</v>
      </c>
    </row>
    <row r="76" spans="2:19" x14ac:dyDescent="0.55000000000000004">
      <c r="B76" s="38" t="s">
        <v>186</v>
      </c>
      <c r="C76" s="124">
        <f t="shared" si="12"/>
        <v>59.62774914226717</v>
      </c>
      <c r="D76" s="125">
        <f t="shared" si="13"/>
        <v>12.138355646004531</v>
      </c>
      <c r="E76" s="125">
        <f t="shared" si="14"/>
        <v>81.328730588923435</v>
      </c>
      <c r="F76" s="125">
        <f t="shared" si="15"/>
        <v>104.9980192063007</v>
      </c>
      <c r="G76" s="125">
        <f t="shared" si="16"/>
        <v>82.208211276989388</v>
      </c>
      <c r="H76" s="125">
        <f t="shared" ref="H76:H85" si="25">G37/(1-$E$19)/kWh2mmBTU</f>
        <v>46.764774400698201</v>
      </c>
      <c r="I76" s="125">
        <f t="shared" si="17"/>
        <v>58.489985818847209</v>
      </c>
      <c r="J76" s="125">
        <f t="shared" si="18"/>
        <v>10.393631864647952</v>
      </c>
      <c r="K76" s="125">
        <f t="shared" si="19"/>
        <v>67.100587178860508</v>
      </c>
      <c r="L76" s="125">
        <f t="shared" si="20"/>
        <v>56.558571785197046</v>
      </c>
      <c r="M76" s="161">
        <f t="shared" si="21"/>
        <v>80.794644406346578</v>
      </c>
      <c r="N76" s="161">
        <v>0</v>
      </c>
      <c r="O76" s="161">
        <f t="shared" si="22"/>
        <v>123.68611237030859</v>
      </c>
      <c r="P76" s="161">
        <v>0</v>
      </c>
      <c r="R76" s="125">
        <f t="shared" si="23"/>
        <v>60.778551699812887</v>
      </c>
      <c r="S76" s="125">
        <f t="shared" si="24"/>
        <v>10.393631864647952</v>
      </c>
    </row>
    <row r="77" spans="2:19" x14ac:dyDescent="0.55000000000000004">
      <c r="B77" s="38" t="s">
        <v>187</v>
      </c>
      <c r="C77" s="124">
        <f t="shared" si="12"/>
        <v>71.638708717486779</v>
      </c>
      <c r="D77" s="125">
        <f t="shared" si="13"/>
        <v>18.638815650522666</v>
      </c>
      <c r="E77" s="125">
        <f t="shared" si="14"/>
        <v>97.710970560397669</v>
      </c>
      <c r="F77" s="125">
        <f t="shared" si="15"/>
        <v>202.52399850799318</v>
      </c>
      <c r="G77" s="125">
        <f t="shared" si="16"/>
        <v>98.76760713885858</v>
      </c>
      <c r="H77" s="125">
        <f t="shared" si="25"/>
        <v>81.840956748301991</v>
      </c>
      <c r="I77" s="125">
        <f t="shared" si="17"/>
        <v>70.271763017063805</v>
      </c>
      <c r="J77" s="125">
        <f t="shared" si="18"/>
        <v>15.454244950701094</v>
      </c>
      <c r="K77" s="125">
        <f t="shared" si="19"/>
        <v>80.616818324126086</v>
      </c>
      <c r="L77" s="125">
        <f t="shared" si="20"/>
        <v>51.653736645993668</v>
      </c>
      <c r="M77" s="161">
        <f t="shared" si="21"/>
        <v>97.110688375331677</v>
      </c>
      <c r="N77" s="161">
        <v>0</v>
      </c>
      <c r="O77" s="161">
        <f t="shared" si="22"/>
        <v>153.22500757453375</v>
      </c>
      <c r="P77" s="161">
        <v>0</v>
      </c>
      <c r="R77" s="125">
        <f t="shared" si="23"/>
        <v>125.95445205927389</v>
      </c>
      <c r="S77" s="125">
        <f t="shared" si="24"/>
        <v>15.454244950701094</v>
      </c>
    </row>
    <row r="78" spans="2:19" x14ac:dyDescent="0.55000000000000004">
      <c r="B78" s="38" t="s">
        <v>312</v>
      </c>
      <c r="C78" s="124">
        <f t="shared" si="12"/>
        <v>0.96538875224986465</v>
      </c>
      <c r="D78" s="125">
        <f t="shared" si="13"/>
        <v>5.647753112946055</v>
      </c>
      <c r="E78" s="125">
        <f t="shared" si="14"/>
        <v>1.3167332806404999</v>
      </c>
      <c r="F78" s="125">
        <f t="shared" si="15"/>
        <v>11.047018072092655</v>
      </c>
      <c r="G78" s="125">
        <f t="shared" si="16"/>
        <v>1.3309723015039923</v>
      </c>
      <c r="H78" s="125">
        <f t="shared" si="25"/>
        <v>12.692601964319115</v>
      </c>
      <c r="I78" s="125">
        <f t="shared" si="17"/>
        <v>0.9469680684079943</v>
      </c>
      <c r="J78" s="125">
        <f t="shared" si="18"/>
        <v>5.2927838216043952</v>
      </c>
      <c r="K78" s="125">
        <f t="shared" si="19"/>
        <v>1.0863759417998118</v>
      </c>
      <c r="L78" s="125">
        <f t="shared" si="20"/>
        <v>16.863593968249383</v>
      </c>
      <c r="M78" s="161">
        <f t="shared" si="21"/>
        <v>4.8096090809845347</v>
      </c>
      <c r="N78" s="161">
        <v>0</v>
      </c>
      <c r="O78" s="161">
        <f t="shared" si="22"/>
        <v>4.599354037371393</v>
      </c>
      <c r="P78" s="161">
        <v>0</v>
      </c>
      <c r="R78" s="125">
        <f t="shared" si="23"/>
        <v>4.73285923915694</v>
      </c>
      <c r="S78" s="125">
        <f t="shared" si="24"/>
        <v>5.2927838216043952</v>
      </c>
    </row>
    <row r="79" spans="2:19" x14ac:dyDescent="0.55000000000000004">
      <c r="B79" s="38" t="s">
        <v>313</v>
      </c>
      <c r="C79" s="124">
        <f t="shared" si="12"/>
        <v>0.90797092822434244</v>
      </c>
      <c r="D79" s="125">
        <f t="shared" si="13"/>
        <v>5.4695100798373009</v>
      </c>
      <c r="E79" s="125">
        <f t="shared" si="14"/>
        <v>1.2384187574806147</v>
      </c>
      <c r="F79" s="125">
        <f t="shared" si="15"/>
        <v>10.991373967284796</v>
      </c>
      <c r="G79" s="125">
        <f t="shared" si="16"/>
        <v>1.2518108929911025</v>
      </c>
      <c r="H79" s="125">
        <f t="shared" si="25"/>
        <v>12.565663661834515</v>
      </c>
      <c r="I79" s="125">
        <f t="shared" si="17"/>
        <v>0.89064583989339707</v>
      </c>
      <c r="J79" s="125">
        <f>H40/(1-$E$19)/kWh2mmBTU</f>
        <v>5.1119556934487003</v>
      </c>
      <c r="K79" s="125">
        <f t="shared" si="19"/>
        <v>1.0217622382462428</v>
      </c>
      <c r="L79" s="125">
        <f t="shared" si="20"/>
        <v>16.859211516729353</v>
      </c>
      <c r="M79" s="161">
        <f t="shared" si="21"/>
        <v>4.5460637590915223</v>
      </c>
      <c r="N79" s="161">
        <v>0</v>
      </c>
      <c r="O79" s="161">
        <f t="shared" si="22"/>
        <v>3.0868222042355429</v>
      </c>
      <c r="P79" s="161">
        <v>0</v>
      </c>
      <c r="R79" s="125">
        <f t="shared" si="23"/>
        <v>4.393400999772167</v>
      </c>
      <c r="S79" s="125">
        <f t="shared" si="24"/>
        <v>5.1119556934487003</v>
      </c>
    </row>
    <row r="80" spans="2:19" x14ac:dyDescent="0.55000000000000004">
      <c r="B80" s="38" t="s">
        <v>314</v>
      </c>
      <c r="C80" s="124">
        <f t="shared" si="12"/>
        <v>26.628090748269322</v>
      </c>
      <c r="D80" s="125">
        <f t="shared" si="13"/>
        <v>2.1955086238447818</v>
      </c>
      <c r="E80" s="125">
        <f t="shared" si="14"/>
        <v>36.319144185643822</v>
      </c>
      <c r="F80" s="125">
        <f t="shared" si="15"/>
        <v>3.192779371781417</v>
      </c>
      <c r="G80" s="125">
        <f t="shared" si="16"/>
        <v>36.71189574695623</v>
      </c>
      <c r="H80" s="125">
        <f t="shared" si="25"/>
        <v>1.4405726995903763</v>
      </c>
      <c r="I80" s="125">
        <f t="shared" si="17"/>
        <v>26.119997361182147</v>
      </c>
      <c r="J80" s="125">
        <f t="shared" si="18"/>
        <v>2.2335476330122699</v>
      </c>
      <c r="K80" s="125">
        <f t="shared" si="19"/>
        <v>29.965251923190717</v>
      </c>
      <c r="L80" s="125">
        <f t="shared" si="20"/>
        <v>3.4699030753018323</v>
      </c>
      <c r="M80" s="161">
        <f t="shared" si="21"/>
        <v>29.682322604104925</v>
      </c>
      <c r="N80" s="161">
        <v>0</v>
      </c>
      <c r="O80" s="161">
        <f t="shared" si="22"/>
        <v>54.642184847588396</v>
      </c>
      <c r="P80" s="161">
        <v>0</v>
      </c>
      <c r="R80" s="125">
        <f t="shared" si="23"/>
        <v>51.432165545402782</v>
      </c>
      <c r="S80" s="125">
        <f t="shared" si="24"/>
        <v>2.2335476330122699</v>
      </c>
    </row>
    <row r="81" spans="1:19" x14ac:dyDescent="0.55000000000000004">
      <c r="B81" s="38" t="s">
        <v>188</v>
      </c>
      <c r="C81" s="124">
        <f t="shared" si="12"/>
        <v>0.17401707313354117</v>
      </c>
      <c r="D81" s="125">
        <f t="shared" si="13"/>
        <v>0.15861579231528172</v>
      </c>
      <c r="E81" s="125">
        <f t="shared" si="14"/>
        <v>0.23734901723329829</v>
      </c>
      <c r="F81" s="125">
        <f t="shared" si="15"/>
        <v>1.8135767046019913</v>
      </c>
      <c r="G81" s="125">
        <f t="shared" si="16"/>
        <v>0.23991568556165591</v>
      </c>
      <c r="H81" s="125">
        <f t="shared" si="25"/>
        <v>0.36440424619320089</v>
      </c>
      <c r="I81" s="125">
        <f t="shared" si="17"/>
        <v>0.17069663514437872</v>
      </c>
      <c r="J81" s="125">
        <f t="shared" si="18"/>
        <v>0.14824671511001231</v>
      </c>
      <c r="K81" s="125">
        <f t="shared" si="19"/>
        <v>0.19582573473547948</v>
      </c>
      <c r="L81" s="125">
        <f t="shared" si="20"/>
        <v>3.3718423033458702</v>
      </c>
      <c r="M81" s="161">
        <f t="shared" si="21"/>
        <v>0.41004852551319443</v>
      </c>
      <c r="N81" s="161">
        <v>0</v>
      </c>
      <c r="O81" s="161">
        <f t="shared" si="22"/>
        <v>0.34395504084685735</v>
      </c>
      <c r="P81" s="161">
        <v>0</v>
      </c>
      <c r="R81" s="125">
        <f t="shared" si="23"/>
        <v>0.58948399928056616</v>
      </c>
      <c r="S81" s="125">
        <f t="shared" si="24"/>
        <v>0.14824671511001231</v>
      </c>
    </row>
    <row r="82" spans="1:19" x14ac:dyDescent="0.55000000000000004">
      <c r="B82" s="38" t="s">
        <v>189</v>
      </c>
      <c r="C82" s="124">
        <f t="shared" si="12"/>
        <v>0.35465018565023326</v>
      </c>
      <c r="D82" s="125">
        <f t="shared" si="13"/>
        <v>3.7192668542893648</v>
      </c>
      <c r="E82" s="125">
        <f t="shared" si="14"/>
        <v>0.48372192170530803</v>
      </c>
      <c r="F82" s="125">
        <f t="shared" si="15"/>
        <v>4.704308057997892</v>
      </c>
      <c r="G82" s="125">
        <f t="shared" si="16"/>
        <v>0.48895284176828391</v>
      </c>
      <c r="H82" s="125">
        <f t="shared" si="25"/>
        <v>8.5446512900474687</v>
      </c>
      <c r="I82" s="125">
        <f t="shared" si="17"/>
        <v>0.3478830683318489</v>
      </c>
      <c r="J82" s="125">
        <f t="shared" si="18"/>
        <v>3.4761298715451168</v>
      </c>
      <c r="K82" s="125">
        <f t="shared" si="19"/>
        <v>0.39909666292189211</v>
      </c>
      <c r="L82" s="125">
        <f t="shared" si="20"/>
        <v>7.2157425291601633</v>
      </c>
      <c r="M82" s="161">
        <f t="shared" si="21"/>
        <v>0.98739452773762215</v>
      </c>
      <c r="N82" s="161">
        <v>0</v>
      </c>
      <c r="O82" s="161">
        <f t="shared" si="22"/>
        <v>1.0345997896440484</v>
      </c>
      <c r="P82" s="161">
        <v>0</v>
      </c>
      <c r="R82" s="125">
        <f t="shared" si="23"/>
        <v>1.8593179916421563</v>
      </c>
      <c r="S82" s="125">
        <f>H43/(1-$E$19)/kWh2mmBTU</f>
        <v>3.4761298715451168</v>
      </c>
    </row>
    <row r="83" spans="1:19" x14ac:dyDescent="0.55000000000000004">
      <c r="B83" s="38" t="s">
        <v>179</v>
      </c>
      <c r="C83" s="124">
        <f t="shared" si="12"/>
        <v>396.6973409935224</v>
      </c>
      <c r="D83" s="125">
        <f t="shared" si="13"/>
        <v>3.1126101064614704</v>
      </c>
      <c r="E83" s="125">
        <f t="shared" si="14"/>
        <v>541.07175996242506</v>
      </c>
      <c r="F83" s="125">
        <f t="shared" si="15"/>
        <v>3.0980028482499415</v>
      </c>
      <c r="G83" s="125">
        <f t="shared" si="16"/>
        <v>546.92285539080513</v>
      </c>
      <c r="H83" s="125">
        <f t="shared" si="25"/>
        <v>9.2755608861106502</v>
      </c>
      <c r="I83" s="125">
        <f t="shared" si="17"/>
        <v>389.12791750239296</v>
      </c>
      <c r="J83" s="125">
        <f t="shared" si="18"/>
        <v>2.8020770748834805</v>
      </c>
      <c r="K83" s="125">
        <f t="shared" si="19"/>
        <v>446.41337122164447</v>
      </c>
      <c r="L83" s="125">
        <f t="shared" si="20"/>
        <v>2.5729510262617965</v>
      </c>
      <c r="M83" s="161">
        <f t="shared" si="21"/>
        <v>536.16837519848843</v>
      </c>
      <c r="N83" s="161">
        <v>0</v>
      </c>
      <c r="O83" s="161">
        <f t="shared" si="22"/>
        <v>730.08935668966058</v>
      </c>
      <c r="P83" s="161">
        <v>0</v>
      </c>
      <c r="R83" s="125">
        <f t="shared" si="23"/>
        <v>607.03097938673113</v>
      </c>
      <c r="S83" s="125">
        <f t="shared" si="24"/>
        <v>2.8020770748834805</v>
      </c>
    </row>
    <row r="84" spans="1:19" x14ac:dyDescent="0.55000000000000004">
      <c r="B84" s="38" t="s">
        <v>180</v>
      </c>
      <c r="C84" s="124">
        <f t="shared" si="12"/>
        <v>1.8232994011811579</v>
      </c>
      <c r="D84" s="125">
        <f t="shared" si="13"/>
        <v>0.36034703197229201</v>
      </c>
      <c r="E84" s="125">
        <f t="shared" si="14"/>
        <v>2.4868727717326293</v>
      </c>
      <c r="F84" s="125">
        <f t="shared" si="15"/>
        <v>0.30980028482499417</v>
      </c>
      <c r="G84" s="125">
        <f t="shared" si="16"/>
        <v>2.5137655630079645</v>
      </c>
      <c r="H84" s="125">
        <f t="shared" si="25"/>
        <v>2.5079823295093715</v>
      </c>
      <c r="I84" s="125">
        <f t="shared" si="17"/>
        <v>1.788508834438014</v>
      </c>
      <c r="J84" s="125">
        <f t="shared" si="18"/>
        <v>0.25213398216661903</v>
      </c>
      <c r="K84" s="125">
        <f t="shared" si="19"/>
        <v>2.0518041043309565</v>
      </c>
      <c r="L84" s="125">
        <f t="shared" si="20"/>
        <v>0.63172346911891264</v>
      </c>
      <c r="M84" s="161">
        <f t="shared" si="21"/>
        <v>3.8844880403095834</v>
      </c>
      <c r="N84" s="161">
        <v>0</v>
      </c>
      <c r="O84" s="161">
        <f t="shared" si="22"/>
        <v>5.0826200219007545</v>
      </c>
      <c r="P84" s="161">
        <v>0</v>
      </c>
      <c r="R84" s="125">
        <f t="shared" si="23"/>
        <v>0.66437500684806183</v>
      </c>
      <c r="S84" s="125">
        <f t="shared" si="24"/>
        <v>0.25213398216661903</v>
      </c>
    </row>
    <row r="85" spans="1:19" x14ac:dyDescent="0.55000000000000004">
      <c r="B85" s="38" t="s">
        <v>178</v>
      </c>
      <c r="C85" s="126">
        <f t="shared" si="12"/>
        <v>13685.219415914626</v>
      </c>
      <c r="D85" s="125">
        <f t="shared" si="13"/>
        <v>124990.95765268529</v>
      </c>
      <c r="E85" s="125">
        <f t="shared" si="14"/>
        <v>18665.831579047026</v>
      </c>
      <c r="F85" s="125">
        <f t="shared" si="15"/>
        <v>185360.21062895303</v>
      </c>
      <c r="G85" s="125">
        <f t="shared" si="16"/>
        <v>18867.681998715318</v>
      </c>
      <c r="H85" s="125">
        <f t="shared" si="25"/>
        <v>190782.0287198133</v>
      </c>
      <c r="I85" s="125">
        <f t="shared" si="17"/>
        <v>13424.090311624068</v>
      </c>
      <c r="J85" s="125">
        <f t="shared" si="18"/>
        <v>121675.93835759348</v>
      </c>
      <c r="K85" s="125">
        <f t="shared" si="19"/>
        <v>15400.317330249283</v>
      </c>
      <c r="L85" s="125">
        <f t="shared" si="20"/>
        <v>152909.18131106318</v>
      </c>
      <c r="M85" s="161">
        <f t="shared" si="21"/>
        <v>168632.49521236212</v>
      </c>
      <c r="N85" s="161">
        <v>0</v>
      </c>
      <c r="O85" s="161">
        <f t="shared" si="22"/>
        <v>61353.525145263295</v>
      </c>
      <c r="P85" s="161">
        <v>0</v>
      </c>
      <c r="R85" s="125">
        <f t="shared" si="23"/>
        <v>30473.894017115472</v>
      </c>
      <c r="S85" s="125">
        <f t="shared" si="24"/>
        <v>121675.93835759348</v>
      </c>
    </row>
    <row r="86" spans="1:19" x14ac:dyDescent="0.55000000000000004">
      <c r="B86" s="38" t="s">
        <v>319</v>
      </c>
      <c r="C86" s="126">
        <f t="shared" si="12"/>
        <v>13845.696560083061</v>
      </c>
      <c r="D86" s="138">
        <f>D75*Fuel_Specs!$B$19/Fuel_Specs!$B$22+D76*Fuel_Specs!$B$20/Fuel_Specs!$B$22+D85</f>
        <v>125014.8815694012</v>
      </c>
      <c r="E86" s="138">
        <f>E75*Fuel_Specs!$B$19/Fuel_Specs!$B$22+E76*Fuel_Specs!$B$20/Fuel_Specs!$B$22+E85</f>
        <v>18884.71293230111</v>
      </c>
      <c r="F86" s="138">
        <f>F75*Fuel_Specs!$B$19/Fuel_Specs!$B$22+F76*Fuel_Specs!$B$20/Fuel_Specs!$B$22+F85</f>
        <v>185549.3959069456</v>
      </c>
      <c r="G86" s="138">
        <f>G75*Fuel_Specs!$B$19/Fuel_Specs!$B$22+G76*Fuel_Specs!$B$20/Fuel_Specs!$B$22+G85</f>
        <v>19088.930312842524</v>
      </c>
      <c r="H86" s="138">
        <f>H75*Fuel_Specs!$B$19/Fuel_Specs!$B$22+H76*Fuel_Specs!$B$20/Fuel_Specs!$B$22+H85</f>
        <v>190872.05757618076</v>
      </c>
      <c r="I86" s="138">
        <f>I75*Fuel_Specs!$B$19/Fuel_Specs!$B$22+I76*Fuel_Specs!$B$20/Fuel_Specs!$B$22+I85</f>
        <v>13581.505374605329</v>
      </c>
      <c r="J86" s="138">
        <f>J75*Fuel_Specs!$B$19/Fuel_Specs!$B$22+J76*Fuel_Specs!$B$20/Fuel_Specs!$B$22+J85</f>
        <v>121696.53144009601</v>
      </c>
      <c r="K86" s="138">
        <f>K75*Fuel_Specs!$B$19/Fuel_Specs!$B$22+K76*Fuel_Specs!$B$20/Fuel_Specs!$B$22+K85</f>
        <v>15580.906246607618</v>
      </c>
      <c r="L86" s="138">
        <f>L75*Fuel_Specs!$B$19/Fuel_Specs!$B$22+L76*Fuel_Specs!$B$20/Fuel_Specs!$B$22+L85</f>
        <v>153088.20805448981</v>
      </c>
      <c r="M86" s="163">
        <f>M75*Fuel_Specs!$B$19/Fuel_Specs!$B$22+M76*Fuel_Specs!$B$20/Fuel_Specs!$B$22+M85</f>
        <v>168856.14194256841</v>
      </c>
      <c r="N86" s="163">
        <f>N75*Fuel_Specs!$B$19/Fuel_Specs!$B$22+N76*Fuel_Specs!$B$20/Fuel_Specs!$B$22+N85</f>
        <v>0</v>
      </c>
      <c r="O86" s="163">
        <f>O75*Fuel_Specs!$B$19/Fuel_Specs!$B$22+O76*Fuel_Specs!$B$20/Fuel_Specs!$B$22+O85</f>
        <v>61668.748072358285</v>
      </c>
      <c r="P86" s="163">
        <f>P75*Fuel_Specs!$B$19/Fuel_Specs!$B$22+P76*Fuel_Specs!$B$20/Fuel_Specs!$B$22+P85</f>
        <v>0</v>
      </c>
      <c r="R86" s="138">
        <f>R75*Fuel_Specs!$B$19/Fuel_Specs!$B$22+R76*Fuel_Specs!$B$20/Fuel_Specs!$B$22+R85</f>
        <v>30640.164298681269</v>
      </c>
      <c r="S86" s="138">
        <f>S75*Fuel_Specs!$B$19/Fuel_Specs!$B$22+S76*Fuel_Specs!$B$20/Fuel_Specs!$B$22+S85</f>
        <v>121696.53144009601</v>
      </c>
    </row>
    <row r="87" spans="1:19" x14ac:dyDescent="0.55000000000000004">
      <c r="B87" s="42" t="s">
        <v>320</v>
      </c>
      <c r="C87" s="126">
        <f>$C$30*$C143/10^6</f>
        <v>47070.987928571114</v>
      </c>
      <c r="D87" s="139">
        <f t="shared" ref="D87:P87" si="26">D86+D83*CH4_GWP_20yr+D84*N2O_GWP_20yr</f>
        <v>125370.0466429127</v>
      </c>
      <c r="E87" s="139">
        <f t="shared" si="26"/>
        <v>64202.049395884183</v>
      </c>
      <c r="F87" s="139">
        <f t="shared" si="26"/>
        <v>185889.55661968346</v>
      </c>
      <c r="G87" s="139">
        <f t="shared" si="26"/>
        <v>64896.323881285127</v>
      </c>
      <c r="H87" s="139">
        <f t="shared" si="26"/>
        <v>192321.97052524093</v>
      </c>
      <c r="I87" s="139">
        <f t="shared" si="26"/>
        <v>46172.821480354323</v>
      </c>
      <c r="J87" s="139">
        <f t="shared" si="26"/>
        <v>121996.53537590538</v>
      </c>
      <c r="K87" s="139">
        <f t="shared" si="26"/>
        <v>52970.151892875634</v>
      </c>
      <c r="L87" s="139">
        <f t="shared" si="26"/>
        <v>153472.93702122587</v>
      </c>
      <c r="M87" s="164">
        <f t="shared" si="26"/>
        <v>214150.49813144823</v>
      </c>
      <c r="N87" s="164">
        <f t="shared" si="26"/>
        <v>0</v>
      </c>
      <c r="O87" s="164">
        <f t="shared" si="26"/>
        <v>123288.6752652342</v>
      </c>
      <c r="P87" s="164">
        <f t="shared" si="26"/>
        <v>0</v>
      </c>
      <c r="R87" s="139">
        <f>R86+R83*CH4_GWP_20yr+R84*N2O_GWP_20yr</f>
        <v>80901.594474956117</v>
      </c>
      <c r="S87" s="139">
        <f>S86+S83*CH4_GWP_20yr+S84*N2O_GWP_20yr</f>
        <v>121996.53537590538</v>
      </c>
    </row>
    <row r="89" spans="1:19" x14ac:dyDescent="0.55000000000000004">
      <c r="B89" s="128" t="s">
        <v>321</v>
      </c>
      <c r="C89" s="129">
        <f>C87+D87</f>
        <v>172441.03457148382</v>
      </c>
      <c r="E89" s="129">
        <f>E87+F87</f>
        <v>250091.60601556764</v>
      </c>
      <c r="G89" s="129">
        <f>G87+H87</f>
        <v>257218.29440652605</v>
      </c>
      <c r="I89" s="129">
        <f>I87+J87</f>
        <v>168169.35685625969</v>
      </c>
      <c r="K89" s="129">
        <f>K87+L87</f>
        <v>206443.08891410151</v>
      </c>
      <c r="M89" s="129">
        <f>M87+N87</f>
        <v>214150.49813144823</v>
      </c>
      <c r="O89" s="129">
        <f>O87+P87</f>
        <v>123288.6752652342</v>
      </c>
      <c r="R89" s="129">
        <f>R87+S87</f>
        <v>202898.1298508615</v>
      </c>
    </row>
    <row r="90" spans="1:19" x14ac:dyDescent="0.55000000000000004">
      <c r="B90" s="128" t="s">
        <v>322</v>
      </c>
      <c r="C90" s="129">
        <f>C89/mmBTU2kWh</f>
        <v>588.39323478216033</v>
      </c>
      <c r="E90" s="129">
        <f>E89/mmBTU2kWh</f>
        <v>853.3479831006515</v>
      </c>
      <c r="G90" s="129">
        <f>G89/mmBTU2kWh</f>
        <v>877.66525332615686</v>
      </c>
      <c r="I90" s="129">
        <f>I89/mmBTU2kWh</f>
        <v>573.81766537054398</v>
      </c>
      <c r="K90" s="129">
        <f>K89/mmBTU2kWh</f>
        <v>704.41306030459475</v>
      </c>
      <c r="M90" s="129">
        <f>M89/mmBTU2kWh</f>
        <v>730.71183224396475</v>
      </c>
      <c r="O90" s="129">
        <f>O89/mmBTU2kWh</f>
        <v>420.67842281035939</v>
      </c>
      <c r="R90" s="129">
        <f>R89/mmBTU2kWh</f>
        <v>692.31715786714176</v>
      </c>
    </row>
    <row r="91" spans="1:19" x14ac:dyDescent="0.55000000000000004">
      <c r="B91" s="128" t="s">
        <v>323</v>
      </c>
      <c r="C91" s="129">
        <f>C89*g2lb</f>
        <v>380.16740575130007</v>
      </c>
      <c r="E91" s="129">
        <f>E89*g2lb</f>
        <v>551.35761215641185</v>
      </c>
      <c r="G91" s="129">
        <f>G89*g2lb</f>
        <v>567.06927060198575</v>
      </c>
      <c r="I91" s="129">
        <f>I89*g2lb</f>
        <v>370.74996842706963</v>
      </c>
      <c r="K91" s="129">
        <f>K89*g2lb</f>
        <v>455.12910394436642</v>
      </c>
      <c r="M91" s="129">
        <f>M89*g2lb</f>
        <v>472.12103266077474</v>
      </c>
      <c r="O91" s="129">
        <f>O89*g2lb</f>
        <v>271.80500250750293</v>
      </c>
      <c r="R91" s="129">
        <f>R89*g2lb</f>
        <v>447.31380700001966</v>
      </c>
    </row>
    <row r="96" spans="1:19" x14ac:dyDescent="0.55000000000000004">
      <c r="A96" s="35" t="s">
        <v>327</v>
      </c>
      <c r="B96" s="35"/>
      <c r="C96" s="35"/>
      <c r="D96" s="35"/>
      <c r="E96" s="35"/>
      <c r="F96" s="35"/>
      <c r="G96" s="35"/>
      <c r="H96" s="35"/>
      <c r="I96" s="35"/>
      <c r="J96" s="35"/>
      <c r="K96" s="35"/>
    </row>
    <row r="97" spans="1:6" x14ac:dyDescent="0.55000000000000004">
      <c r="C97" s="14" t="s">
        <v>262</v>
      </c>
      <c r="D97" s="212" t="s">
        <v>328</v>
      </c>
      <c r="E97" s="212" t="s">
        <v>329</v>
      </c>
      <c r="F97" s="14" t="s">
        <v>268</v>
      </c>
    </row>
    <row r="98" spans="1:6" x14ac:dyDescent="0.55000000000000004">
      <c r="B98" s="37"/>
      <c r="C98" s="213" t="s">
        <v>330</v>
      </c>
      <c r="D98" s="551" t="s">
        <v>331</v>
      </c>
      <c r="E98" s="553" t="s">
        <v>332</v>
      </c>
      <c r="F98" s="145" t="s">
        <v>333</v>
      </c>
    </row>
    <row r="99" spans="1:6" x14ac:dyDescent="0.55000000000000004">
      <c r="B99" s="38" t="s">
        <v>334</v>
      </c>
      <c r="C99" s="144" t="s">
        <v>335</v>
      </c>
      <c r="D99" s="552"/>
      <c r="E99" s="554"/>
      <c r="F99" s="2" t="s">
        <v>336</v>
      </c>
    </row>
    <row r="100" spans="1:6" x14ac:dyDescent="0.55000000000000004">
      <c r="A100" s="13">
        <v>262</v>
      </c>
      <c r="B100" s="37" t="s">
        <v>337</v>
      </c>
      <c r="C100" s="43"/>
      <c r="D100" s="38"/>
      <c r="E100" s="38"/>
      <c r="F100" s="41">
        <v>0.99919999999999998</v>
      </c>
    </row>
    <row r="101" spans="1:6" x14ac:dyDescent="0.55000000000000004">
      <c r="A101" s="13">
        <v>269</v>
      </c>
      <c r="B101" s="38" t="s">
        <v>185</v>
      </c>
      <c r="C101" s="43">
        <v>3.794170491727654</v>
      </c>
      <c r="D101" s="215">
        <v>1.8312924191793809</v>
      </c>
      <c r="E101" s="216">
        <f>C101-D101</f>
        <v>1.9628780725482731</v>
      </c>
      <c r="F101" s="41">
        <v>2.3244602964031844</v>
      </c>
    </row>
    <row r="102" spans="1:6" x14ac:dyDescent="0.55000000000000004">
      <c r="A102" s="13">
        <v>270</v>
      </c>
      <c r="B102" s="38" t="s">
        <v>186</v>
      </c>
      <c r="C102" s="43">
        <v>7.7929334002168869</v>
      </c>
      <c r="D102" s="215">
        <v>1.115591470838367</v>
      </c>
      <c r="E102" s="216">
        <f t="shared" ref="E102:E113" si="27">C102-D102</f>
        <v>6.6773419293785201</v>
      </c>
      <c r="F102" s="41">
        <v>3.0820276856616209</v>
      </c>
    </row>
    <row r="103" spans="1:6" x14ac:dyDescent="0.55000000000000004">
      <c r="A103" s="13">
        <v>271</v>
      </c>
      <c r="B103" s="38" t="s">
        <v>187</v>
      </c>
      <c r="C103" s="43">
        <v>17.025159564047829</v>
      </c>
      <c r="D103" s="215">
        <v>7.8789619630705348</v>
      </c>
      <c r="E103" s="216">
        <f t="shared" si="27"/>
        <v>9.1461976009772954</v>
      </c>
      <c r="F103" s="41">
        <v>9.0230835297555849</v>
      </c>
    </row>
    <row r="104" spans="1:6" x14ac:dyDescent="0.55000000000000004">
      <c r="A104" s="13">
        <v>272</v>
      </c>
      <c r="B104" s="38" t="s">
        <v>312</v>
      </c>
      <c r="C104" s="43">
        <v>0.86286796613579175</v>
      </c>
      <c r="D104" s="215">
        <v>0.51179624603163931</v>
      </c>
      <c r="E104" s="216">
        <f t="shared" si="27"/>
        <v>0.35107172010415244</v>
      </c>
      <c r="F104" s="41">
        <v>0.90801915694760393</v>
      </c>
    </row>
    <row r="105" spans="1:6" x14ac:dyDescent="0.55000000000000004">
      <c r="A105" s="13">
        <v>273</v>
      </c>
      <c r="B105" s="38" t="s">
        <v>313</v>
      </c>
      <c r="C105" s="43">
        <v>0.7382452003857306</v>
      </c>
      <c r="D105" s="215">
        <v>0.43568361552487767</v>
      </c>
      <c r="E105" s="216">
        <f t="shared" si="27"/>
        <v>0.30256158486085294</v>
      </c>
      <c r="F105" s="41">
        <v>0.80584439797422347</v>
      </c>
    </row>
    <row r="106" spans="1:6" x14ac:dyDescent="0.55000000000000004">
      <c r="A106" s="13">
        <v>274</v>
      </c>
      <c r="B106" s="38" t="s">
        <v>314</v>
      </c>
      <c r="C106" s="43">
        <v>7.2122665134214694</v>
      </c>
      <c r="D106" s="215">
        <v>4.9559451836861674</v>
      </c>
      <c r="E106" s="216">
        <f t="shared" si="27"/>
        <v>2.256321329735302</v>
      </c>
      <c r="F106" s="41">
        <v>4.7292860987305891</v>
      </c>
    </row>
    <row r="107" spans="1:6" x14ac:dyDescent="0.55000000000000004">
      <c r="A107" s="13">
        <v>275</v>
      </c>
      <c r="B107" s="38" t="s">
        <v>188</v>
      </c>
      <c r="C107" s="43">
        <v>0.1078869948428002</v>
      </c>
      <c r="D107" s="215">
        <v>4.9179222918621167E-2</v>
      </c>
      <c r="E107" s="216">
        <f t="shared" si="27"/>
        <v>5.8707771924179038E-2</v>
      </c>
      <c r="F107" s="41">
        <v>9.8619559599354811E-2</v>
      </c>
    </row>
    <row r="108" spans="1:6" x14ac:dyDescent="0.55000000000000004">
      <c r="A108" s="13">
        <v>276</v>
      </c>
      <c r="B108" s="38" t="s">
        <v>189</v>
      </c>
      <c r="C108" s="43">
        <v>0.18607484093526161</v>
      </c>
      <c r="D108" s="215">
        <v>0.10808693635588996</v>
      </c>
      <c r="E108" s="216">
        <f t="shared" si="27"/>
        <v>7.7987904579371645E-2</v>
      </c>
      <c r="F108" s="41">
        <v>0.18875012273099356</v>
      </c>
    </row>
    <row r="109" spans="1:6" x14ac:dyDescent="0.55000000000000004">
      <c r="A109" s="13">
        <v>277</v>
      </c>
      <c r="B109" s="38" t="s">
        <v>179</v>
      </c>
      <c r="C109" s="43">
        <v>91.559752748431535</v>
      </c>
      <c r="D109" s="215">
        <v>2.0512515408776952</v>
      </c>
      <c r="E109" s="216">
        <f t="shared" si="27"/>
        <v>89.508501207553834</v>
      </c>
      <c r="F109" s="41">
        <v>9.3201121206943451</v>
      </c>
    </row>
    <row r="110" spans="1:6" x14ac:dyDescent="0.55000000000000004">
      <c r="A110" s="13">
        <v>278</v>
      </c>
      <c r="B110" s="38" t="s">
        <v>180</v>
      </c>
      <c r="C110" s="43">
        <v>9.7165575067149984E-2</v>
      </c>
      <c r="D110" s="215">
        <v>3.2878602995157047E-2</v>
      </c>
      <c r="E110" s="216">
        <f t="shared" si="27"/>
        <v>6.4286972071992937E-2</v>
      </c>
      <c r="F110" s="41">
        <v>8.5260986052925369E-2</v>
      </c>
    </row>
    <row r="111" spans="1:6" x14ac:dyDescent="0.55000000000000004">
      <c r="A111" s="13">
        <v>279</v>
      </c>
      <c r="B111" s="38" t="s">
        <v>178</v>
      </c>
      <c r="C111" s="214">
        <v>6299.6489254192938</v>
      </c>
      <c r="D111" s="215">
        <v>1835.3996559965958</v>
      </c>
      <c r="E111" s="216">
        <f>C111-D111</f>
        <v>4464.2492694226985</v>
      </c>
      <c r="F111" s="7">
        <v>4828.4185768677271</v>
      </c>
    </row>
    <row r="112" spans="1:6" x14ac:dyDescent="0.55000000000000004">
      <c r="A112" s="13">
        <v>280</v>
      </c>
      <c r="B112" s="38" t="s">
        <v>319</v>
      </c>
      <c r="C112" s="217">
        <f>C101*Fuel_Specs!$B$19/Fuel_Specs!$B$22+C102*Fuel_Specs!$B$20/Fuel_Specs!$B$22+C111</f>
        <v>6323.7201283188524</v>
      </c>
      <c r="D112" s="217">
        <f>D101*Fuel_Specs!$B$19/Fuel_Specs!$B$22+D102*Fuel_Specs!$B$20/Fuel_Specs!$B$22+D111</f>
        <v>1842.8602563476891</v>
      </c>
      <c r="E112" s="217">
        <f>C112-D112</f>
        <v>4480.8598719711636</v>
      </c>
      <c r="F112" s="217">
        <f>F101*Fuel_Specs!$B$19/Fuel_Specs!$B$22+F102*Fuel_Specs!$B$20/Fuel_Specs!$B$22+F111</f>
        <v>4840.5063311546992</v>
      </c>
    </row>
    <row r="113" spans="1:12" x14ac:dyDescent="0.55000000000000004">
      <c r="A113" s="13">
        <v>281</v>
      </c>
      <c r="B113" s="42" t="s">
        <v>320</v>
      </c>
      <c r="C113" s="218">
        <f>C112+C109*CH4_GWP_20yr+C110*N2O_GWP_20yr</f>
        <v>13903.925932057788</v>
      </c>
      <c r="D113" s="218">
        <f>D112+D109*CH4_GWP_20yr+D110*N2O_GWP_20yr</f>
        <v>2021.0643670877769</v>
      </c>
      <c r="E113" s="218">
        <f t="shared" si="27"/>
        <v>11882.861564970011</v>
      </c>
      <c r="F113" s="218">
        <f>F112+F109*CH4_GWP_20yr+F110*N2O_GWP_20yr</f>
        <v>5632.6918303044313</v>
      </c>
    </row>
    <row r="114" spans="1:12" x14ac:dyDescent="0.55000000000000004">
      <c r="F114" s="218">
        <f>C113*F100+F113</f>
        <v>19525.49462161657</v>
      </c>
    </row>
    <row r="115" spans="1:12" x14ac:dyDescent="0.55000000000000004">
      <c r="B115" s="170" t="s">
        <v>332</v>
      </c>
      <c r="C115" s="206">
        <f>E113*F100</f>
        <v>11873.355275718035</v>
      </c>
    </row>
    <row r="116" spans="1:12" x14ac:dyDescent="0.55000000000000004">
      <c r="B116" s="170" t="s">
        <v>338</v>
      </c>
      <c r="C116" s="206">
        <f>D113*F100</f>
        <v>2019.4475155941066</v>
      </c>
    </row>
    <row r="117" spans="1:12" x14ac:dyDescent="0.55000000000000004">
      <c r="B117" s="170" t="s">
        <v>30</v>
      </c>
      <c r="C117" s="206">
        <f>F113</f>
        <v>5632.6918303044313</v>
      </c>
    </row>
    <row r="119" spans="1:12" x14ac:dyDescent="0.55000000000000004">
      <c r="A119" s="35" t="s">
        <v>339</v>
      </c>
      <c r="B119" s="35"/>
      <c r="C119" s="35"/>
      <c r="D119" s="35"/>
      <c r="E119" s="35"/>
      <c r="F119" s="35"/>
      <c r="G119" s="35"/>
      <c r="H119" s="35"/>
      <c r="I119" s="35"/>
      <c r="J119" s="35"/>
      <c r="K119" s="35"/>
    </row>
    <row r="120" spans="1:12" x14ac:dyDescent="0.55000000000000004">
      <c r="A120" s="201"/>
      <c r="B120" s="201"/>
      <c r="C120" s="201"/>
      <c r="D120" s="201"/>
      <c r="E120" s="201"/>
      <c r="F120" s="201"/>
      <c r="G120" s="201"/>
      <c r="H120" s="201"/>
      <c r="I120" s="201"/>
      <c r="J120" s="201"/>
      <c r="K120" s="201"/>
    </row>
    <row r="121" spans="1:12" s="209" customFormat="1" x14ac:dyDescent="0.55000000000000004">
      <c r="A121" s="208" t="s">
        <v>340</v>
      </c>
      <c r="K121" s="210"/>
      <c r="L121" s="211"/>
    </row>
    <row r="122" spans="1:12" x14ac:dyDescent="0.55000000000000004">
      <c r="A122" s="201"/>
      <c r="B122" s="201" t="s">
        <v>341</v>
      </c>
      <c r="C122" s="202" t="s">
        <v>265</v>
      </c>
      <c r="D122" s="201"/>
      <c r="E122" s="201"/>
      <c r="F122" s="201"/>
      <c r="G122" s="201"/>
      <c r="H122" s="201"/>
      <c r="I122" s="201"/>
      <c r="J122" s="201"/>
      <c r="K122" s="201"/>
    </row>
    <row r="123" spans="1:12" x14ac:dyDescent="0.55000000000000004">
      <c r="A123" s="201"/>
      <c r="B123" s="201" t="s">
        <v>342</v>
      </c>
      <c r="C123" s="201"/>
      <c r="D123" s="201"/>
      <c r="E123" s="201"/>
      <c r="F123" s="201"/>
      <c r="H123" s="201"/>
      <c r="I123" s="201"/>
      <c r="J123" s="201"/>
      <c r="K123" s="201"/>
    </row>
    <row r="124" spans="1:12" x14ac:dyDescent="0.55000000000000004">
      <c r="A124" s="13">
        <v>120</v>
      </c>
      <c r="B124" s="179" t="s">
        <v>343</v>
      </c>
      <c r="C124" s="203">
        <v>0.25322434607682498</v>
      </c>
      <c r="D124" s="201"/>
      <c r="E124" s="201"/>
      <c r="F124" s="201"/>
      <c r="H124" s="201"/>
      <c r="I124" s="201"/>
      <c r="J124" s="201"/>
      <c r="K124" s="201"/>
    </row>
    <row r="125" spans="1:12" x14ac:dyDescent="0.55000000000000004">
      <c r="A125" s="13">
        <v>121</v>
      </c>
      <c r="B125" s="179" t="s">
        <v>344</v>
      </c>
      <c r="C125" s="203">
        <v>0.74677565392317502</v>
      </c>
      <c r="D125" s="201"/>
      <c r="E125" s="201"/>
      <c r="F125" s="201"/>
      <c r="H125" s="201"/>
      <c r="I125" s="201"/>
      <c r="J125" s="201"/>
      <c r="K125" s="201"/>
    </row>
    <row r="127" spans="1:12" x14ac:dyDescent="0.55000000000000004">
      <c r="C127" s="14" t="s">
        <v>263</v>
      </c>
      <c r="F127" s="14" t="s">
        <v>262</v>
      </c>
      <c r="G127" s="14" t="s">
        <v>263</v>
      </c>
      <c r="H127" s="14" t="s">
        <v>100</v>
      </c>
      <c r="I127" s="14" t="s">
        <v>264</v>
      </c>
      <c r="J127" s="14" t="s">
        <v>265</v>
      </c>
      <c r="K127" s="14" t="s">
        <v>266</v>
      </c>
      <c r="L127" s="14" t="s">
        <v>345</v>
      </c>
    </row>
    <row r="128" spans="1:12" ht="15" customHeight="1" x14ac:dyDescent="0.55000000000000004">
      <c r="B128" s="37"/>
      <c r="C128" s="563" t="s">
        <v>346</v>
      </c>
      <c r="E128" s="37"/>
      <c r="F128" s="555" t="s">
        <v>347</v>
      </c>
      <c r="G128" s="555" t="s">
        <v>348</v>
      </c>
      <c r="H128" s="555" t="s">
        <v>349</v>
      </c>
      <c r="I128" s="555" t="s">
        <v>350</v>
      </c>
      <c r="J128" s="555" t="s">
        <v>351</v>
      </c>
      <c r="K128" s="555" t="s">
        <v>352</v>
      </c>
      <c r="L128" s="557" t="s">
        <v>353</v>
      </c>
    </row>
    <row r="129" spans="1:12" x14ac:dyDescent="0.55000000000000004">
      <c r="B129" s="42" t="s">
        <v>334</v>
      </c>
      <c r="C129" s="564"/>
      <c r="E129" s="42" t="s">
        <v>334</v>
      </c>
      <c r="F129" s="556"/>
      <c r="G129" s="556"/>
      <c r="H129" s="556"/>
      <c r="I129" s="556"/>
      <c r="J129" s="556"/>
      <c r="K129" s="556"/>
      <c r="L129" s="558"/>
    </row>
    <row r="130" spans="1:12" x14ac:dyDescent="0.55000000000000004">
      <c r="A130" s="13">
        <v>84</v>
      </c>
      <c r="B130" s="38" t="s">
        <v>337</v>
      </c>
      <c r="C130" s="38"/>
      <c r="D130" s="13">
        <v>25</v>
      </c>
      <c r="E130" s="38" t="s">
        <v>337</v>
      </c>
      <c r="F130" s="38"/>
      <c r="G130" s="38">
        <v>1</v>
      </c>
      <c r="H130" s="38"/>
      <c r="I130" s="38"/>
      <c r="J130" s="38">
        <v>1</v>
      </c>
      <c r="K130" s="38"/>
      <c r="L130" s="38">
        <v>1.0017136884320208</v>
      </c>
    </row>
    <row r="131" spans="1:12" x14ac:dyDescent="0.55000000000000004">
      <c r="A131" s="13">
        <v>91</v>
      </c>
      <c r="B131" s="38" t="s">
        <v>185</v>
      </c>
      <c r="C131" s="147">
        <v>9.3568112629335829</v>
      </c>
      <c r="D131" s="13">
        <v>56</v>
      </c>
      <c r="E131" s="38" t="s">
        <v>354</v>
      </c>
      <c r="F131" s="200">
        <v>2.7496015136206564</v>
      </c>
      <c r="G131" s="200">
        <v>0.26987917182066684</v>
      </c>
      <c r="H131" s="200">
        <v>4.4000000000000004</v>
      </c>
      <c r="I131" s="200">
        <v>2.4487421924484356</v>
      </c>
      <c r="J131" s="200">
        <v>0.26180897617986432</v>
      </c>
      <c r="K131" s="200">
        <v>4.4000000000000004</v>
      </c>
      <c r="L131" s="200">
        <v>2.1557122909110529</v>
      </c>
    </row>
    <row r="132" spans="1:12" x14ac:dyDescent="0.55000000000000004">
      <c r="A132" s="13">
        <v>92</v>
      </c>
      <c r="B132" s="38" t="s">
        <v>186</v>
      </c>
      <c r="C132" s="147">
        <v>26.04016120093182</v>
      </c>
      <c r="D132" s="13">
        <v>57</v>
      </c>
      <c r="E132" s="38" t="s">
        <v>355</v>
      </c>
      <c r="F132" s="200">
        <v>13.469698667539372</v>
      </c>
      <c r="G132" s="200">
        <v>1.448728528202998</v>
      </c>
      <c r="H132" s="200">
        <v>1.2</v>
      </c>
      <c r="I132" s="200">
        <v>11.967511765294834</v>
      </c>
      <c r="J132" s="200">
        <v>1.4084341403045924</v>
      </c>
      <c r="K132" s="200">
        <v>1.2</v>
      </c>
      <c r="L132" s="200">
        <v>11.047973493311872</v>
      </c>
    </row>
    <row r="133" spans="1:12" x14ac:dyDescent="0.55000000000000004">
      <c r="A133" s="13">
        <v>93</v>
      </c>
      <c r="B133" s="38" t="s">
        <v>187</v>
      </c>
      <c r="C133" s="147">
        <v>31.285492913359136</v>
      </c>
      <c r="D133" s="13">
        <v>58</v>
      </c>
      <c r="E133" s="38" t="s">
        <v>356</v>
      </c>
      <c r="F133" s="200">
        <v>15.63325210247975</v>
      </c>
      <c r="G133" s="200">
        <v>2.1741058351526248</v>
      </c>
      <c r="H133" s="200">
        <v>1.546</v>
      </c>
      <c r="I133" s="200">
        <v>13.904894015873015</v>
      </c>
      <c r="J133" s="200">
        <v>2.127744672593546</v>
      </c>
      <c r="K133" s="200">
        <v>1.546</v>
      </c>
      <c r="L133" s="200">
        <v>13.226557658564849</v>
      </c>
    </row>
    <row r="134" spans="1:12" x14ac:dyDescent="0.55000000000000004">
      <c r="A134" s="13">
        <v>94</v>
      </c>
      <c r="B134" s="38" t="s">
        <v>312</v>
      </c>
      <c r="C134" s="147">
        <v>0.42159697610207453</v>
      </c>
      <c r="D134" s="13">
        <v>59</v>
      </c>
      <c r="E134" s="38" t="s">
        <v>357</v>
      </c>
      <c r="F134" s="200">
        <v>0.22572974214325411</v>
      </c>
      <c r="G134" s="200">
        <v>0.15726946994027524</v>
      </c>
      <c r="H134" s="200">
        <v>0.02</v>
      </c>
      <c r="I134" s="200">
        <v>0.19901890453412963</v>
      </c>
      <c r="J134" s="200">
        <v>0.15655298329663242</v>
      </c>
      <c r="K134" s="200">
        <v>0.02</v>
      </c>
      <c r="L134" s="200">
        <v>3.8424306800773654E-2</v>
      </c>
    </row>
    <row r="135" spans="1:12" x14ac:dyDescent="0.55000000000000004">
      <c r="A135" s="13">
        <v>95</v>
      </c>
      <c r="B135" s="38" t="s">
        <v>313</v>
      </c>
      <c r="C135" s="147">
        <v>0.39652191600104714</v>
      </c>
      <c r="D135" s="13">
        <v>60</v>
      </c>
      <c r="E135" s="38" t="s">
        <v>358</v>
      </c>
      <c r="F135" s="200">
        <v>0.22372784996448505</v>
      </c>
      <c r="G135" s="200">
        <v>0.14685961256335381</v>
      </c>
      <c r="H135" s="200">
        <v>0.01</v>
      </c>
      <c r="I135" s="200">
        <v>0.19794543166384557</v>
      </c>
      <c r="J135" s="200">
        <v>0.14616802967016482</v>
      </c>
      <c r="K135" s="200">
        <v>0.01</v>
      </c>
      <c r="L135" s="200">
        <v>3.5086264554239202E-2</v>
      </c>
    </row>
    <row r="136" spans="1:12" x14ac:dyDescent="0.55000000000000004">
      <c r="A136" s="13">
        <v>96</v>
      </c>
      <c r="B136" s="38" t="s">
        <v>314</v>
      </c>
      <c r="C136" s="147">
        <v>11.628810168627639</v>
      </c>
      <c r="D136" s="13">
        <v>61</v>
      </c>
      <c r="E136" s="38" t="s">
        <v>359</v>
      </c>
      <c r="F136" s="200">
        <v>0.43325903646597558</v>
      </c>
      <c r="G136" s="200">
        <v>0.77048522778114958</v>
      </c>
      <c r="H136" s="200">
        <v>10.089</v>
      </c>
      <c r="I136" s="200">
        <v>0.38444808320098173</v>
      </c>
      <c r="J136" s="200">
        <v>0.76917593165986686</v>
      </c>
      <c r="K136" s="200">
        <v>10.089</v>
      </c>
      <c r="L136" s="200">
        <v>0.35420638210735528</v>
      </c>
    </row>
    <row r="137" spans="1:12" x14ac:dyDescent="0.55000000000000004">
      <c r="A137" s="13">
        <v>97</v>
      </c>
      <c r="B137" s="38" t="s">
        <v>188</v>
      </c>
      <c r="C137" s="147">
        <v>7.5995366273177753E-2</v>
      </c>
      <c r="D137" s="13">
        <v>62</v>
      </c>
      <c r="E137" s="38" t="s">
        <v>360</v>
      </c>
      <c r="F137" s="200">
        <v>4.8999888208186806E-2</v>
      </c>
      <c r="G137" s="200">
        <v>2.5778412377501562E-2</v>
      </c>
      <c r="H137" s="200">
        <v>0</v>
      </c>
      <c r="I137" s="200">
        <v>4.3110050687015837E-2</v>
      </c>
      <c r="J137" s="200">
        <v>2.5620424448448236E-2</v>
      </c>
      <c r="K137" s="200">
        <v>0</v>
      </c>
      <c r="L137" s="200">
        <v>5.6130274331906028E-3</v>
      </c>
    </row>
    <row r="138" spans="1:12" x14ac:dyDescent="0.55000000000000004">
      <c r="A138" s="13">
        <v>98</v>
      </c>
      <c r="B138" s="38" t="s">
        <v>189</v>
      </c>
      <c r="C138" s="147">
        <v>0.1548800371826568</v>
      </c>
      <c r="D138" s="13">
        <v>63</v>
      </c>
      <c r="E138" s="38" t="s">
        <v>361</v>
      </c>
      <c r="F138" s="200">
        <v>9.1906536298867039E-2</v>
      </c>
      <c r="G138" s="200">
        <v>5.9553991373748505E-2</v>
      </c>
      <c r="H138" s="200">
        <v>0</v>
      </c>
      <c r="I138" s="200">
        <v>8.1490260877143311E-2</v>
      </c>
      <c r="J138" s="200">
        <v>5.9274587098772855E-2</v>
      </c>
      <c r="K138" s="200">
        <v>0</v>
      </c>
      <c r="L138" s="200">
        <v>1.1160914253202226E-2</v>
      </c>
    </row>
    <row r="139" spans="1:12" x14ac:dyDescent="0.55000000000000004">
      <c r="A139" s="13">
        <v>99</v>
      </c>
      <c r="B139" s="38" t="s">
        <v>179</v>
      </c>
      <c r="C139" s="147">
        <v>173.24253985850811</v>
      </c>
      <c r="D139" s="13">
        <v>64</v>
      </c>
      <c r="E139" s="38" t="s">
        <v>362</v>
      </c>
      <c r="F139" s="200">
        <v>12.16908539436141</v>
      </c>
      <c r="G139" s="200">
        <v>3.767126458805433</v>
      </c>
      <c r="H139" s="200"/>
      <c r="I139" s="200">
        <v>10.872461665399019</v>
      </c>
      <c r="J139" s="200">
        <v>3.7602087981577319</v>
      </c>
      <c r="K139" s="200"/>
      <c r="L139" s="200">
        <v>10.66175197429952</v>
      </c>
    </row>
    <row r="140" spans="1:12" x14ac:dyDescent="0.55000000000000004">
      <c r="A140" s="13">
        <v>100</v>
      </c>
      <c r="B140" s="38" t="s">
        <v>180</v>
      </c>
      <c r="C140" s="147">
        <v>0.79625696101723697</v>
      </c>
      <c r="D140" s="13">
        <v>65</v>
      </c>
      <c r="E140" s="38" t="s">
        <v>363</v>
      </c>
      <c r="F140" s="200">
        <v>1.1997371943911766E-2</v>
      </c>
      <c r="G140" s="200">
        <v>1.8960654355950776E-2</v>
      </c>
      <c r="H140" s="200"/>
      <c r="I140" s="200">
        <v>1.0789110930009229E-2</v>
      </c>
      <c r="J140" s="200">
        <v>1.8928244182553601E-2</v>
      </c>
      <c r="K140" s="200"/>
      <c r="L140" s="200">
        <v>0.76617397308056234</v>
      </c>
    </row>
    <row r="141" spans="1:12" x14ac:dyDescent="0.55000000000000004">
      <c r="A141" s="13">
        <v>101</v>
      </c>
      <c r="B141" s="38" t="s">
        <v>178</v>
      </c>
      <c r="C141" s="146">
        <v>5976.501289865545</v>
      </c>
      <c r="D141" s="13">
        <v>66</v>
      </c>
      <c r="E141" s="38" t="s">
        <v>364</v>
      </c>
      <c r="F141" s="200">
        <v>2601.3367623287468</v>
      </c>
      <c r="G141" s="200">
        <v>2094.9412706211137</v>
      </c>
      <c r="H141" s="200">
        <v>462.92408559485364</v>
      </c>
      <c r="I141" s="200">
        <v>2329.7089400876989</v>
      </c>
      <c r="J141" s="200">
        <v>2087.6551753842118</v>
      </c>
      <c r="K141" s="200">
        <v>462.92408559485364</v>
      </c>
      <c r="L141" s="200">
        <v>1017.1009669644243</v>
      </c>
    </row>
    <row r="142" spans="1:12" x14ac:dyDescent="0.55000000000000004">
      <c r="A142" s="13">
        <v>102</v>
      </c>
      <c r="B142" s="38" t="s">
        <v>319</v>
      </c>
      <c r="C142" s="168">
        <f>C131*Fuel_Specs!$B$19/Fuel_Specs!$B$22+C132*Fuel_Specs!$B$20/Fuel_Specs!$B$22+C141</f>
        <v>6046.5836049507716</v>
      </c>
      <c r="D142" s="13">
        <v>67</v>
      </c>
      <c r="E142" s="38" t="s">
        <v>365</v>
      </c>
      <c r="F142" s="200">
        <v>105.06828689650604</v>
      </c>
      <c r="G142" s="200">
        <v>6.2094539348466951</v>
      </c>
      <c r="H142" s="200"/>
      <c r="I142" s="200">
        <v>106.10701815554559</v>
      </c>
      <c r="J142" s="200">
        <v>6.2094539348466951</v>
      </c>
      <c r="K142" s="200"/>
      <c r="L142" s="200">
        <v>35.346922767332423</v>
      </c>
    </row>
    <row r="143" spans="1:12" x14ac:dyDescent="0.55000000000000004">
      <c r="A143" s="13">
        <v>103</v>
      </c>
      <c r="B143" s="204" t="s">
        <v>320</v>
      </c>
      <c r="C143" s="205">
        <f>C142+C139*CH4_GWP_20yr+C140*N2O_GWP_20yr</f>
        <v>20556.471293635397</v>
      </c>
      <c r="E143" s="204" t="s">
        <v>321</v>
      </c>
      <c r="F143" s="204">
        <f>F131*Fuel_Specs!$B$19/Fuel_Specs!$B$22+F132*Fuel_Specs!$B$20/Fuel_Specs!$B$22+(F139+F142)*CH4_GWP_20yr+F140*N2O_GWP_20yr+F141</f>
        <v>12306.431519584821</v>
      </c>
      <c r="G143" s="204">
        <f>G131*Fuel_Specs!$B$19/Fuel_Specs!$B$22+G132*Fuel_Specs!$B$20/Fuel_Specs!$B$22+(G139+G142)*CH4_GWP_20yr+G140*N2O_GWP_20yr+G141</f>
        <v>2926.3031085568919</v>
      </c>
      <c r="H143" s="204">
        <f>H131*Fuel_Specs!$B$19/Fuel_Specs!$B$22+H132*Fuel_Specs!$B$20/Fuel_Specs!$B$22+(H139+H142)*CH4_GWP_20yr+H140*N2O_GWP_20yr+H141</f>
        <v>478.52313321390125</v>
      </c>
      <c r="I143" s="204">
        <f>I131*Fuel_Specs!$B$19/Fuel_Specs!$B$22+I132*Fuel_Specs!$B$20/Fuel_Specs!$B$22+(I139+I142)*CH4_GWP_20yr+I140*N2O_GWP_20yr+I141</f>
        <v>12009.899455682878</v>
      </c>
      <c r="J143" s="204">
        <f>J131*Fuel_Specs!$B$19/Fuel_Specs!$B$22+J132*Fuel_Specs!$B$20/Fuel_Specs!$B$22+(J139+J142)*CH4_GWP_20yr+J140*N2O_GWP_20yr+J141</f>
        <v>2918.3489864770581</v>
      </c>
      <c r="K143" s="204">
        <f>K131*Fuel_Specs!$B$19/Fuel_Specs!$B$22+K132*Fuel_Specs!$B$20/Fuel_Specs!$B$22+(K139+K142)*CH4_GWP_20yr+K140*N2O_GWP_20yr+K141</f>
        <v>478.52313321390125</v>
      </c>
      <c r="L143" s="204">
        <f>L131*Fuel_Specs!$B$19/Fuel_Specs!$B$22+L132*Fuel_Specs!$B$20/Fuel_Specs!$B$22+(L139+L142)*CH4_GWP_20yr+L140*N2O_GWP_20yr+L141</f>
        <v>5046.0618656438346</v>
      </c>
    </row>
    <row r="145" spans="1:14" x14ac:dyDescent="0.55000000000000004">
      <c r="D145" s="221" t="s">
        <v>366</v>
      </c>
    </row>
    <row r="146" spans="1:14" x14ac:dyDescent="0.55000000000000004">
      <c r="B146" s="170" t="s">
        <v>367</v>
      </c>
      <c r="C146" s="206">
        <f>((F143*G130+G143+H143)*C124+(I143*J130+J143+K143)*C125)*L130</f>
        <v>15510.409427991564</v>
      </c>
      <c r="D146" s="206"/>
      <c r="L146" s="132">
        <f>L143</f>
        <v>5046.0618656438346</v>
      </c>
    </row>
    <row r="147" spans="1:14" x14ac:dyDescent="0.55000000000000004">
      <c r="B147" s="170" t="s">
        <v>368</v>
      </c>
      <c r="C147" s="206">
        <f>L146</f>
        <v>5046.0618656438346</v>
      </c>
      <c r="D147" s="220">
        <f>L130</f>
        <v>1.0017136884320208</v>
      </c>
      <c r="K147" s="195"/>
      <c r="L147" s="132"/>
    </row>
    <row r="148" spans="1:14" x14ac:dyDescent="0.55000000000000004">
      <c r="B148" s="170" t="s">
        <v>96</v>
      </c>
      <c r="C148" s="206">
        <f>C146+C147</f>
        <v>20556.471293635397</v>
      </c>
      <c r="K148" s="195"/>
      <c r="L148" s="132"/>
    </row>
    <row r="149" spans="1:14" x14ac:dyDescent="0.55000000000000004">
      <c r="K149" s="195"/>
      <c r="L149" s="132"/>
    </row>
    <row r="150" spans="1:14" x14ac:dyDescent="0.55000000000000004">
      <c r="A150" s="208" t="s">
        <v>369</v>
      </c>
      <c r="B150" s="209"/>
      <c r="C150" s="209"/>
      <c r="D150" s="209"/>
      <c r="E150" s="209"/>
      <c r="F150" s="209"/>
      <c r="G150" s="209"/>
      <c r="H150" s="209"/>
      <c r="I150" s="209"/>
      <c r="J150" s="209"/>
      <c r="K150" s="210"/>
      <c r="L150" s="211"/>
      <c r="M150" s="209"/>
      <c r="N150" s="209"/>
    </row>
    <row r="151" spans="1:14" x14ac:dyDescent="0.55000000000000004">
      <c r="C151" t="s">
        <v>370</v>
      </c>
    </row>
    <row r="152" spans="1:14" x14ac:dyDescent="0.55000000000000004">
      <c r="C152" s="14" t="s">
        <v>263</v>
      </c>
      <c r="F152" s="14" t="s">
        <v>371</v>
      </c>
      <c r="G152" s="14" t="s">
        <v>372</v>
      </c>
      <c r="H152" s="14" t="s">
        <v>373</v>
      </c>
      <c r="I152" s="14" t="s">
        <v>305</v>
      </c>
      <c r="J152" s="14" t="s">
        <v>374</v>
      </c>
      <c r="K152" s="14" t="s">
        <v>375</v>
      </c>
      <c r="L152" s="14" t="s">
        <v>376</v>
      </c>
      <c r="M152" s="14" t="s">
        <v>377</v>
      </c>
      <c r="N152" s="14" t="s">
        <v>378</v>
      </c>
    </row>
    <row r="153" spans="1:14" ht="15" customHeight="1" x14ac:dyDescent="0.55000000000000004">
      <c r="B153" s="37"/>
      <c r="C153" s="563" t="s">
        <v>346</v>
      </c>
      <c r="E153" s="37"/>
      <c r="F153" s="555" t="s">
        <v>379</v>
      </c>
      <c r="G153" s="555" t="s">
        <v>380</v>
      </c>
      <c r="H153" s="555" t="s">
        <v>381</v>
      </c>
      <c r="I153" s="555" t="s">
        <v>382</v>
      </c>
      <c r="J153" s="555" t="s">
        <v>383</v>
      </c>
      <c r="K153" s="555" t="s">
        <v>384</v>
      </c>
      <c r="L153" s="557" t="s">
        <v>385</v>
      </c>
      <c r="M153" s="555" t="s">
        <v>386</v>
      </c>
      <c r="N153" s="555" t="s">
        <v>387</v>
      </c>
    </row>
    <row r="154" spans="1:14" x14ac:dyDescent="0.55000000000000004">
      <c r="B154" s="42"/>
      <c r="C154" s="564"/>
      <c r="E154" s="42" t="s">
        <v>334</v>
      </c>
      <c r="F154" s="556"/>
      <c r="G154" s="556"/>
      <c r="H154" s="556"/>
      <c r="I154" s="556"/>
      <c r="J154" s="556"/>
      <c r="K154" s="556"/>
      <c r="L154" s="558"/>
      <c r="M154" s="556"/>
      <c r="N154" s="556"/>
    </row>
    <row r="155" spans="1:14" x14ac:dyDescent="0.55000000000000004">
      <c r="A155" s="13">
        <v>84</v>
      </c>
      <c r="B155" s="38" t="s">
        <v>337</v>
      </c>
      <c r="C155" s="38"/>
      <c r="D155" s="13">
        <v>25</v>
      </c>
      <c r="E155" s="38" t="s">
        <v>337</v>
      </c>
      <c r="F155" s="38"/>
      <c r="G155" s="38">
        <v>1</v>
      </c>
      <c r="H155" s="38"/>
      <c r="I155" s="38">
        <v>1.0002284917909361</v>
      </c>
      <c r="J155" s="38">
        <v>1.0010050251256282</v>
      </c>
      <c r="K155" s="38">
        <v>1.0105263157894737</v>
      </c>
      <c r="L155" s="38">
        <v>1.0050251256281406</v>
      </c>
      <c r="M155" s="38">
        <v>1.0010050251256282</v>
      </c>
      <c r="N155" s="38">
        <v>1.0002284917909361</v>
      </c>
    </row>
    <row r="156" spans="1:14" x14ac:dyDescent="0.55000000000000004">
      <c r="A156" s="13">
        <v>91</v>
      </c>
      <c r="B156" s="38" t="s">
        <v>185</v>
      </c>
      <c r="C156" s="147">
        <v>10.108030624171388</v>
      </c>
      <c r="D156" s="13">
        <v>56</v>
      </c>
      <c r="E156" s="38" t="s">
        <v>354</v>
      </c>
      <c r="F156" s="200">
        <v>2.7495887995995889</v>
      </c>
      <c r="G156" s="200">
        <v>0.26981751504055768</v>
      </c>
      <c r="H156" s="200">
        <v>4.4000000000000004</v>
      </c>
      <c r="I156" s="200">
        <v>0.285990170023464</v>
      </c>
      <c r="J156" s="200">
        <v>0.84091712499759286</v>
      </c>
      <c r="K156" s="200">
        <v>1.0527638672965798</v>
      </c>
      <c r="L156" s="200"/>
      <c r="M156" s="200">
        <v>6.2684688282525214E-2</v>
      </c>
      <c r="N156" s="200">
        <v>0.285990170023464</v>
      </c>
    </row>
    <row r="157" spans="1:14" x14ac:dyDescent="0.55000000000000004">
      <c r="A157" s="13">
        <v>92</v>
      </c>
      <c r="B157" s="38" t="s">
        <v>186</v>
      </c>
      <c r="C157" s="147">
        <v>27.059047145679234</v>
      </c>
      <c r="D157" s="13">
        <v>57</v>
      </c>
      <c r="E157" s="38" t="s">
        <v>355</v>
      </c>
      <c r="F157" s="200">
        <v>13.4695840801191</v>
      </c>
      <c r="G157" s="200">
        <v>1.4481720404590745</v>
      </c>
      <c r="H157" s="200">
        <v>1.2</v>
      </c>
      <c r="I157" s="200">
        <v>1.4601063692082576</v>
      </c>
      <c r="J157" s="200">
        <v>5.5063192717622984</v>
      </c>
      <c r="K157" s="200">
        <v>1.8055820981597908</v>
      </c>
      <c r="L157" s="200"/>
      <c r="M157" s="200">
        <v>0.28694882645215136</v>
      </c>
      <c r="N157" s="200">
        <v>1.4601063692082576</v>
      </c>
    </row>
    <row r="158" spans="1:14" x14ac:dyDescent="0.55000000000000004">
      <c r="A158" s="13">
        <v>93</v>
      </c>
      <c r="B158" s="38" t="s">
        <v>187</v>
      </c>
      <c r="C158" s="147">
        <v>56.075825454237979</v>
      </c>
      <c r="D158" s="13">
        <v>58</v>
      </c>
      <c r="E158" s="38" t="s">
        <v>356</v>
      </c>
      <c r="F158" s="200">
        <v>15.633529973988805</v>
      </c>
      <c r="G158" s="200">
        <v>2.1754553034346049</v>
      </c>
      <c r="H158" s="200">
        <v>1.546</v>
      </c>
      <c r="I158" s="200">
        <v>1.7949608344467987</v>
      </c>
      <c r="J158" s="200">
        <v>6.1217767200318987</v>
      </c>
      <c r="K158" s="200">
        <v>25.081475747906076</v>
      </c>
      <c r="L158" s="200"/>
      <c r="M158" s="200">
        <v>1.2843906511945806</v>
      </c>
      <c r="N158" s="200">
        <v>1.7949608344467987</v>
      </c>
    </row>
    <row r="159" spans="1:14" x14ac:dyDescent="0.55000000000000004">
      <c r="A159" s="13">
        <v>94</v>
      </c>
      <c r="B159" s="38" t="s">
        <v>312</v>
      </c>
      <c r="C159" s="147">
        <v>2.1071028792975572</v>
      </c>
      <c r="D159" s="13">
        <v>59</v>
      </c>
      <c r="E159" s="38" t="s">
        <v>357</v>
      </c>
      <c r="F159" s="200">
        <v>0.22575895476581648</v>
      </c>
      <c r="G159" s="200">
        <v>0.1574113394961564</v>
      </c>
      <c r="H159" s="200">
        <v>0.02</v>
      </c>
      <c r="I159" s="200">
        <v>8.4264048410006148E-3</v>
      </c>
      <c r="J159" s="200">
        <v>0.44781494346073292</v>
      </c>
      <c r="K159" s="200">
        <v>1.1323963829391974</v>
      </c>
      <c r="L159" s="200"/>
      <c r="M159" s="200">
        <v>8.4752741717267044E-2</v>
      </c>
      <c r="N159" s="200">
        <v>8.4264048410006148E-3</v>
      </c>
    </row>
    <row r="160" spans="1:14" x14ac:dyDescent="0.55000000000000004">
      <c r="A160" s="13">
        <v>95</v>
      </c>
      <c r="B160" s="38" t="s">
        <v>313</v>
      </c>
      <c r="C160" s="147">
        <v>1.9559736363884979</v>
      </c>
      <c r="D160" s="13">
        <v>60</v>
      </c>
      <c r="E160" s="38" t="s">
        <v>358</v>
      </c>
      <c r="F160" s="200">
        <v>0.22375488327450732</v>
      </c>
      <c r="G160" s="200">
        <v>0.14699089840318785</v>
      </c>
      <c r="H160" s="200">
        <v>0.01</v>
      </c>
      <c r="I160" s="200">
        <v>7.7349107568886631E-3</v>
      </c>
      <c r="J160" s="200">
        <v>0.4277962775184419</v>
      </c>
      <c r="K160" s="200">
        <v>1.0417384612782714</v>
      </c>
      <c r="L160" s="200"/>
      <c r="M160" s="200">
        <v>6.9435040421336275E-2</v>
      </c>
      <c r="N160" s="200">
        <v>7.7349107568886631E-3</v>
      </c>
    </row>
    <row r="161" spans="1:14" x14ac:dyDescent="0.55000000000000004">
      <c r="A161" s="13">
        <v>96</v>
      </c>
      <c r="B161" s="38" t="s">
        <v>314</v>
      </c>
      <c r="C161" s="147">
        <v>22.897968993586883</v>
      </c>
      <c r="D161" s="13">
        <v>61</v>
      </c>
      <c r="E161" s="38" t="s">
        <v>359</v>
      </c>
      <c r="F161" s="200">
        <v>0.43345293586363309</v>
      </c>
      <c r="G161" s="200">
        <v>0.77142554496804394</v>
      </c>
      <c r="H161" s="200">
        <v>10.089</v>
      </c>
      <c r="I161" s="200">
        <v>6.9160279279450204E-2</v>
      </c>
      <c r="J161" s="200">
        <v>2.1176811782908405</v>
      </c>
      <c r="K161" s="200">
        <v>8.1155669872369547</v>
      </c>
      <c r="L161" s="200"/>
      <c r="M161" s="200">
        <v>0.93997402856628165</v>
      </c>
      <c r="N161" s="200">
        <v>6.9160279279450204E-2</v>
      </c>
    </row>
    <row r="162" spans="1:14" x14ac:dyDescent="0.55000000000000004">
      <c r="A162" s="13">
        <v>97</v>
      </c>
      <c r="B162" s="38" t="s">
        <v>188</v>
      </c>
      <c r="C162" s="147">
        <v>0.26244250450287526</v>
      </c>
      <c r="D162" s="13">
        <v>62</v>
      </c>
      <c r="E162" s="38" t="s">
        <v>360</v>
      </c>
      <c r="F162" s="200">
        <v>4.9003102766460249E-2</v>
      </c>
      <c r="G162" s="200">
        <v>2.579402370967946E-2</v>
      </c>
      <c r="H162" s="200">
        <v>0</v>
      </c>
      <c r="I162" s="200">
        <v>1.1118839625713541E-3</v>
      </c>
      <c r="J162" s="200">
        <v>2.1535973890273959E-2</v>
      </c>
      <c r="K162" s="200">
        <v>0.1559470686345453</v>
      </c>
      <c r="L162" s="200"/>
      <c r="M162" s="200">
        <v>5.2227191894794961E-3</v>
      </c>
      <c r="N162" s="200">
        <v>1.1118839625713541E-3</v>
      </c>
    </row>
    <row r="163" spans="1:14" x14ac:dyDescent="0.55000000000000004">
      <c r="A163" s="13">
        <v>98</v>
      </c>
      <c r="B163" s="38" t="s">
        <v>189</v>
      </c>
      <c r="C163" s="147">
        <v>0.82778170567709697</v>
      </c>
      <c r="D163" s="13">
        <v>63</v>
      </c>
      <c r="E163" s="38" t="s">
        <v>361</v>
      </c>
      <c r="F163" s="200">
        <v>9.191824901035707E-2</v>
      </c>
      <c r="G163" s="200">
        <v>5.9610873537399064E-2</v>
      </c>
      <c r="H163" s="200">
        <v>0</v>
      </c>
      <c r="I163" s="200">
        <v>2.8125153568281272E-3</v>
      </c>
      <c r="J163" s="200">
        <v>0.24206747311141769</v>
      </c>
      <c r="K163" s="200">
        <v>0.4055567415544542</v>
      </c>
      <c r="L163" s="200"/>
      <c r="M163" s="200">
        <v>1.3584015965150282E-2</v>
      </c>
      <c r="N163" s="200">
        <v>2.8125153568281272E-3</v>
      </c>
    </row>
    <row r="164" spans="1:14" x14ac:dyDescent="0.55000000000000004">
      <c r="A164" s="13">
        <v>99</v>
      </c>
      <c r="B164" s="38" t="s">
        <v>179</v>
      </c>
      <c r="C164" s="147">
        <v>270.25454590034207</v>
      </c>
      <c r="D164" s="13">
        <v>64</v>
      </c>
      <c r="E164" s="38" t="s">
        <v>362</v>
      </c>
      <c r="F164" s="200">
        <v>12.170240456543011</v>
      </c>
      <c r="G164" s="200">
        <v>3.772735957177904</v>
      </c>
      <c r="H164" s="200"/>
      <c r="I164" s="200">
        <v>1.5521734761665307</v>
      </c>
      <c r="J164" s="200">
        <v>12.794693518310586</v>
      </c>
      <c r="K164" s="200">
        <v>2.7518823221992088</v>
      </c>
      <c r="L164" s="200"/>
      <c r="M164" s="200">
        <v>0.53993058879872102</v>
      </c>
      <c r="N164" s="200">
        <v>1.5521734761665307</v>
      </c>
    </row>
    <row r="165" spans="1:14" x14ac:dyDescent="0.55000000000000004">
      <c r="A165" s="13">
        <v>100</v>
      </c>
      <c r="B165" s="38" t="s">
        <v>180</v>
      </c>
      <c r="C165" s="147">
        <v>0.29578451822121998</v>
      </c>
      <c r="D165" s="13">
        <v>65</v>
      </c>
      <c r="E165" s="38" t="s">
        <v>363</v>
      </c>
      <c r="F165" s="200">
        <v>1.1979388859953213E-2</v>
      </c>
      <c r="G165" s="200">
        <v>1.8873320460162196E-2</v>
      </c>
      <c r="H165" s="200"/>
      <c r="I165" s="200">
        <v>0.10012312537473768</v>
      </c>
      <c r="J165" s="200">
        <v>2.8729148015266635E-2</v>
      </c>
      <c r="K165" s="200">
        <v>2.595426960336189E-2</v>
      </c>
      <c r="L165" s="200"/>
      <c r="M165" s="200">
        <v>7.0047054863473521E-3</v>
      </c>
      <c r="N165" s="200">
        <v>0.10012312537473768</v>
      </c>
    </row>
    <row r="166" spans="1:14" x14ac:dyDescent="0.55000000000000004">
      <c r="A166" s="13">
        <v>101</v>
      </c>
      <c r="B166" s="38" t="s">
        <v>178</v>
      </c>
      <c r="C166" s="146">
        <v>13567.196187797585</v>
      </c>
      <c r="D166" s="13">
        <v>66</v>
      </c>
      <c r="E166" s="38" t="s">
        <v>364</v>
      </c>
      <c r="F166" s="200">
        <v>2601.1869763348</v>
      </c>
      <c r="G166" s="200">
        <v>2095.5235279720387</v>
      </c>
      <c r="H166" s="200">
        <v>462.92408559485364</v>
      </c>
      <c r="I166" s="200">
        <v>149.33958366775514</v>
      </c>
      <c r="J166" s="200">
        <v>6346.380185718639</v>
      </c>
      <c r="K166" s="200">
        <v>990.06451959528738</v>
      </c>
      <c r="L166" s="200"/>
      <c r="M166" s="200">
        <v>563.00242574307947</v>
      </c>
      <c r="N166" s="200">
        <v>149.33958366775514</v>
      </c>
    </row>
    <row r="167" spans="1:14" x14ac:dyDescent="0.55000000000000004">
      <c r="A167" s="13">
        <v>102</v>
      </c>
      <c r="B167" s="38" t="s">
        <v>319</v>
      </c>
      <c r="C167" s="168">
        <f>C156*Fuel_Specs!$B$19/Fuel_Specs!$B$22+C157*Fuel_Specs!$B$20/Fuel_Specs!$B$22+C166</f>
        <v>13641.220909709938</v>
      </c>
      <c r="D167" s="13">
        <v>67</v>
      </c>
      <c r="E167" s="38" t="s">
        <v>365</v>
      </c>
      <c r="F167" s="200">
        <v>105.06828689650604</v>
      </c>
      <c r="G167" s="200">
        <v>6.2094539348466951</v>
      </c>
      <c r="H167" s="200"/>
      <c r="I167" s="200">
        <v>4.712923035644323</v>
      </c>
      <c r="J167" s="200">
        <v>21.803342192762525</v>
      </c>
      <c r="K167" s="200">
        <v>45.672264172207804</v>
      </c>
      <c r="L167" s="200">
        <v>21.803342192762521</v>
      </c>
      <c r="M167" s="200">
        <v>21.803342192762525</v>
      </c>
      <c r="N167" s="200">
        <v>4.712923035644323</v>
      </c>
    </row>
    <row r="168" spans="1:14" x14ac:dyDescent="0.55000000000000004">
      <c r="A168" s="13">
        <v>103</v>
      </c>
      <c r="B168" s="205" t="s">
        <v>320</v>
      </c>
      <c r="C168" s="169">
        <f>C167+C164*CH4_GWP_20yr+C165*N2O_GWP_20yr</f>
        <v>36017.970119962556</v>
      </c>
      <c r="E168" s="204" t="s">
        <v>321</v>
      </c>
      <c r="F168" s="204">
        <f>F156*Fuel_Specs!$B$19/Fuel_Specs!$B$22+F157*Fuel_Specs!$B$20/Fuel_Specs!$B$22+(F164+F167)*CH4_GWP_20yr+F165*N2O_GWP_20yr+F166</f>
        <v>12306.371897147626</v>
      </c>
      <c r="G168" s="204">
        <f>G156*Fuel_Specs!$B$19/Fuel_Specs!$B$22+G157*Fuel_Specs!$B$20/Fuel_Specs!$B$22+(G164+G167)*CH4_GWP_20yr+G165*N2O_GWP_20yr+G166</f>
        <v>2927.3232407256237</v>
      </c>
      <c r="H168" s="204">
        <f>H156*Fuel_Specs!$B$19/Fuel_Specs!$B$22+H157*Fuel_Specs!$B$20/Fuel_Specs!$B$22+(H164+H167)*CH4_GWP_20yr+H165*N2O_GWP_20yr+H166</f>
        <v>478.52313321390125</v>
      </c>
      <c r="I168" s="204">
        <f>I156*Fuel_Specs!$B$19/Fuel_Specs!$B$22+I157*Fuel_Specs!$B$20/Fuel_Specs!$B$22+(I164+I167)*CH4_GWP_20yr+I165*N2O_GWP_20yr+I166</f>
        <v>696.72944801525909</v>
      </c>
      <c r="J168" s="204">
        <f>J156*Fuel_Specs!$B$19/Fuel_Specs!$B$22+J157*Fuel_Specs!$B$20/Fuel_Specs!$B$22+(J164+J167)*CH4_GWP_20yr+J165*N2O_GWP_20yr+J166</f>
        <v>9219.8348350903016</v>
      </c>
      <c r="K168" s="204">
        <f>K156*Fuel_Specs!$B$19/Fuel_Specs!$B$22+K157*Fuel_Specs!$B$20/Fuel_Specs!$B$22+(K164+K167)*CH4_GWP_20yr+K165*N2O_GWP_20yr+K166</f>
        <v>4998.2605783357667</v>
      </c>
      <c r="L168" s="204">
        <f>L156*Fuel_Specs!$B$19/Fuel_Specs!$B$22+L157*Fuel_Specs!$B$20/Fuel_Specs!$B$22+(L164+L167)*CH4_GWP_20yr+L165*N2O_GWP_20yr+L166</f>
        <v>1798.775730902908</v>
      </c>
      <c r="M168" s="204">
        <f>M156*Fuel_Specs!$B$19/Fuel_Specs!$B$22+M157*Fuel_Specs!$B$20/Fuel_Specs!$B$22+(M164+M167)*CH4_GWP_20yr+M165*N2O_GWP_20yr+M166</f>
        <v>2408.8810016825605</v>
      </c>
      <c r="N168" s="204">
        <f>N156*Fuel_Specs!$B$19/Fuel_Specs!$B$22+N157*Fuel_Specs!$B$20/Fuel_Specs!$B$22+(N164+N167)*CH4_GWP_20yr+N165*N2O_GWP_20yr+N166</f>
        <v>696.72944801525909</v>
      </c>
    </row>
    <row r="170" spans="1:14" x14ac:dyDescent="0.55000000000000004">
      <c r="D170" s="221" t="s">
        <v>366</v>
      </c>
    </row>
    <row r="171" spans="1:14" x14ac:dyDescent="0.55000000000000004">
      <c r="B171" s="170" t="s">
        <v>367</v>
      </c>
      <c r="C171" s="206">
        <f>(F168*G155+G168+H168)*I155*J155*K155*L155*M155*N155</f>
        <v>15996.796084009535</v>
      </c>
      <c r="D171" s="206"/>
    </row>
    <row r="172" spans="1:14" x14ac:dyDescent="0.55000000000000004">
      <c r="B172" s="170" t="s">
        <v>388</v>
      </c>
      <c r="C172" s="206">
        <f>I168*J155*K155*L155*M155*N155</f>
        <v>709.18648492725015</v>
      </c>
      <c r="D172" s="220">
        <f>$I$155*$J$155*$K$155*$L$155*$M$155*$N$155</f>
        <v>1.0181118800676319</v>
      </c>
    </row>
    <row r="173" spans="1:14" x14ac:dyDescent="0.55000000000000004">
      <c r="B173" s="170" t="s">
        <v>389</v>
      </c>
      <c r="C173" s="206">
        <f>J168*K155*L155*M155*N155</f>
        <v>9375.2566872121624</v>
      </c>
      <c r="D173" s="220">
        <f>$J$155*$K$155*$L$155*$M$155*$N$155</f>
        <v>1.017879303002732</v>
      </c>
    </row>
    <row r="174" spans="1:14" x14ac:dyDescent="0.55000000000000004">
      <c r="B174" s="170" t="s">
        <v>62</v>
      </c>
      <c r="C174" s="206">
        <f>K168*L155*M155*N155</f>
        <v>5029.5750403146258</v>
      </c>
      <c r="D174" s="220">
        <f>$K$155*$L$155*$M$155*$N$155</f>
        <v>1.0168573358310424</v>
      </c>
    </row>
    <row r="175" spans="1:14" x14ac:dyDescent="0.55000000000000004">
      <c r="B175" s="170" t="s">
        <v>63</v>
      </c>
      <c r="C175" s="206">
        <f>L168*M155*N155</f>
        <v>1800.9949642669244</v>
      </c>
      <c r="D175" s="220">
        <f>$L$155*$M$155*$N$155</f>
        <v>1.0062650719161357</v>
      </c>
    </row>
    <row r="176" spans="1:14" x14ac:dyDescent="0.55000000000000004">
      <c r="B176" s="170" t="s">
        <v>64</v>
      </c>
      <c r="C176" s="206">
        <f>M168*N155</f>
        <v>2409.4314112167867</v>
      </c>
      <c r="D176" s="220">
        <f>$M$155*$N$155</f>
        <v>1.0012337465565551</v>
      </c>
    </row>
    <row r="177" spans="1:14" x14ac:dyDescent="0.55000000000000004">
      <c r="B177" s="170" t="s">
        <v>65</v>
      </c>
      <c r="C177" s="206">
        <f>N168</f>
        <v>696.72944801525909</v>
      </c>
      <c r="D177" s="220">
        <f>$N$155</f>
        <v>1.0002284917909361</v>
      </c>
    </row>
    <row r="178" spans="1:14" x14ac:dyDescent="0.55000000000000004">
      <c r="B178" s="170" t="s">
        <v>96</v>
      </c>
      <c r="C178" s="206">
        <f>SUM(C171:C177)</f>
        <v>36017.970119962542</v>
      </c>
    </row>
    <row r="179" spans="1:14" x14ac:dyDescent="0.55000000000000004">
      <c r="B179" s="207"/>
      <c r="C179" s="207"/>
    </row>
    <row r="180" spans="1:14" x14ac:dyDescent="0.55000000000000004">
      <c r="A180" s="208" t="s">
        <v>390</v>
      </c>
      <c r="B180" s="209"/>
      <c r="C180" s="209"/>
      <c r="D180" s="209"/>
      <c r="E180" s="209"/>
      <c r="F180" s="209"/>
      <c r="G180" s="209"/>
      <c r="H180" s="209"/>
      <c r="I180" s="209"/>
      <c r="J180" s="209"/>
      <c r="K180" s="210"/>
      <c r="L180" s="211"/>
      <c r="M180" s="209"/>
      <c r="N180" s="209"/>
    </row>
    <row r="181" spans="1:14" x14ac:dyDescent="0.55000000000000004">
      <c r="C181" t="s">
        <v>391</v>
      </c>
    </row>
    <row r="182" spans="1:14" x14ac:dyDescent="0.55000000000000004">
      <c r="B182" s="14"/>
      <c r="C182" s="14" t="s">
        <v>263</v>
      </c>
      <c r="F182" s="14" t="s">
        <v>371</v>
      </c>
      <c r="G182" s="14" t="s">
        <v>372</v>
      </c>
      <c r="H182" s="14" t="s">
        <v>373</v>
      </c>
      <c r="I182" s="14" t="s">
        <v>305</v>
      </c>
      <c r="J182" s="14" t="s">
        <v>374</v>
      </c>
      <c r="K182" s="14" t="s">
        <v>375</v>
      </c>
      <c r="L182" s="14" t="s">
        <v>376</v>
      </c>
      <c r="M182" s="14" t="s">
        <v>377</v>
      </c>
      <c r="N182" s="14" t="s">
        <v>378</v>
      </c>
    </row>
    <row r="183" spans="1:14" x14ac:dyDescent="0.55000000000000004">
      <c r="B183" s="37"/>
      <c r="C183" s="563" t="s">
        <v>346</v>
      </c>
      <c r="E183" s="37"/>
      <c r="F183" s="555" t="s">
        <v>379</v>
      </c>
      <c r="G183" s="555" t="s">
        <v>380</v>
      </c>
      <c r="H183" s="555" t="s">
        <v>381</v>
      </c>
      <c r="I183" s="555" t="s">
        <v>382</v>
      </c>
      <c r="J183" s="555" t="s">
        <v>383</v>
      </c>
      <c r="K183" s="555" t="s">
        <v>384</v>
      </c>
      <c r="L183" s="557" t="s">
        <v>385</v>
      </c>
      <c r="M183" s="555" t="s">
        <v>386</v>
      </c>
      <c r="N183" s="555" t="s">
        <v>387</v>
      </c>
    </row>
    <row r="184" spans="1:14" x14ac:dyDescent="0.55000000000000004">
      <c r="B184" s="38"/>
      <c r="C184" s="564"/>
      <c r="E184" s="42" t="s">
        <v>334</v>
      </c>
      <c r="F184" s="556"/>
      <c r="G184" s="556"/>
      <c r="H184" s="556"/>
      <c r="I184" s="556"/>
      <c r="J184" s="556"/>
      <c r="K184" s="556"/>
      <c r="L184" s="558"/>
      <c r="M184" s="556"/>
      <c r="N184" s="556"/>
    </row>
    <row r="185" spans="1:14" x14ac:dyDescent="0.55000000000000004">
      <c r="A185" s="13">
        <v>84</v>
      </c>
      <c r="B185" s="38" t="s">
        <v>337</v>
      </c>
      <c r="C185" s="38"/>
      <c r="D185" s="13">
        <v>25</v>
      </c>
      <c r="E185" s="38" t="s">
        <v>337</v>
      </c>
      <c r="F185" s="38"/>
      <c r="G185" s="38">
        <v>1</v>
      </c>
      <c r="H185" s="38"/>
      <c r="I185" s="38">
        <v>1.0001840737612597</v>
      </c>
      <c r="J185" s="38">
        <v>1.0010050251256282</v>
      </c>
      <c r="K185" s="38">
        <v>1.0105263157894737</v>
      </c>
      <c r="L185" s="38">
        <v>1.0050251256281406</v>
      </c>
      <c r="M185" s="38">
        <v>1.0010050251256282</v>
      </c>
      <c r="N185" s="38">
        <v>1.0001840737612597</v>
      </c>
    </row>
    <row r="186" spans="1:14" x14ac:dyDescent="0.55000000000000004">
      <c r="A186" s="13">
        <v>91</v>
      </c>
      <c r="B186" s="38" t="s">
        <v>185</v>
      </c>
      <c r="C186" s="147">
        <v>10.107219022686829</v>
      </c>
      <c r="D186" s="13">
        <v>56</v>
      </c>
      <c r="E186" s="38" t="s">
        <v>354</v>
      </c>
      <c r="F186" s="200">
        <v>2.7495887623837256</v>
      </c>
      <c r="G186" s="200">
        <v>0.26981737492492563</v>
      </c>
      <c r="H186" s="200">
        <v>4.4000000000000004</v>
      </c>
      <c r="I186" s="200">
        <v>0.28598768522265305</v>
      </c>
      <c r="J186" s="200">
        <v>0.84088666037644166</v>
      </c>
      <c r="K186" s="200">
        <v>1.0527611613073589</v>
      </c>
      <c r="L186" s="200"/>
      <c r="M186" s="200">
        <v>6.2683589818693944E-2</v>
      </c>
      <c r="N186" s="200">
        <v>0.28598768522265305</v>
      </c>
    </row>
    <row r="187" spans="1:14" x14ac:dyDescent="0.55000000000000004">
      <c r="A187" s="13">
        <v>92</v>
      </c>
      <c r="B187" s="38" t="s">
        <v>186</v>
      </c>
      <c r="C187" s="147">
        <v>27.057092965056885</v>
      </c>
      <c r="D187" s="13">
        <v>57</v>
      </c>
      <c r="E187" s="38" t="s">
        <v>355</v>
      </c>
      <c r="F187" s="200">
        <v>13.469583993931924</v>
      </c>
      <c r="G187" s="200">
        <v>1.4481717059969776</v>
      </c>
      <c r="H187" s="200">
        <v>1.2</v>
      </c>
      <c r="I187" s="200">
        <v>1.4601002142081014</v>
      </c>
      <c r="J187" s="200">
        <v>5.5062529641803035</v>
      </c>
      <c r="K187" s="200">
        <v>1.8055761414778602</v>
      </c>
      <c r="L187" s="200"/>
      <c r="M187" s="200">
        <v>0.28694639187269466</v>
      </c>
      <c r="N187" s="200">
        <v>1.4601002142081014</v>
      </c>
    </row>
    <row r="188" spans="1:14" x14ac:dyDescent="0.55000000000000004">
      <c r="A188" s="13">
        <v>93</v>
      </c>
      <c r="B188" s="38" t="s">
        <v>187</v>
      </c>
      <c r="C188" s="147">
        <v>56.072423279837054</v>
      </c>
      <c r="D188" s="13">
        <v>58</v>
      </c>
      <c r="E188" s="38" t="s">
        <v>356</v>
      </c>
      <c r="F188" s="200">
        <v>15.633529833382203</v>
      </c>
      <c r="G188" s="200">
        <v>2.1754547219035598</v>
      </c>
      <c r="H188" s="200">
        <v>1.546</v>
      </c>
      <c r="I188" s="200">
        <v>1.7949492610602862</v>
      </c>
      <c r="J188" s="200">
        <v>6.1216963813211294</v>
      </c>
      <c r="K188" s="200">
        <v>25.081468139066097</v>
      </c>
      <c r="L188" s="200"/>
      <c r="M188" s="200">
        <v>1.284387452005149</v>
      </c>
      <c r="N188" s="200">
        <v>1.7949492610602862</v>
      </c>
    </row>
    <row r="189" spans="1:14" x14ac:dyDescent="0.55000000000000004">
      <c r="A189" s="13">
        <v>94</v>
      </c>
      <c r="B189" s="38" t="s">
        <v>312</v>
      </c>
      <c r="C189" s="147">
        <v>2.1069886083736784</v>
      </c>
      <c r="D189" s="13">
        <v>59</v>
      </c>
      <c r="E189" s="38" t="s">
        <v>357</v>
      </c>
      <c r="F189" s="200">
        <v>0.22575895030094623</v>
      </c>
      <c r="G189" s="200">
        <v>0.15741131996320379</v>
      </c>
      <c r="H189" s="200">
        <v>0.02</v>
      </c>
      <c r="I189" s="200">
        <v>8.4259917911719568E-3</v>
      </c>
      <c r="J189" s="200">
        <v>0.4478132406216711</v>
      </c>
      <c r="K189" s="200">
        <v>1.1323962056724843</v>
      </c>
      <c r="L189" s="200"/>
      <c r="M189" s="200">
        <v>8.4752663723663121E-2</v>
      </c>
      <c r="N189" s="200">
        <v>8.4259917911719568E-3</v>
      </c>
    </row>
    <row r="190" spans="1:14" x14ac:dyDescent="0.55000000000000004">
      <c r="A190" s="13">
        <v>95</v>
      </c>
      <c r="B190" s="38" t="s">
        <v>313</v>
      </c>
      <c r="C190" s="147">
        <v>1.9558672326828423</v>
      </c>
      <c r="D190" s="13">
        <v>60</v>
      </c>
      <c r="E190" s="38" t="s">
        <v>358</v>
      </c>
      <c r="F190" s="200">
        <v>0.22375487911184391</v>
      </c>
      <c r="G190" s="200">
        <v>0.14699088021587767</v>
      </c>
      <c r="H190" s="200">
        <v>0.01</v>
      </c>
      <c r="I190" s="200">
        <v>7.7345266697298612E-3</v>
      </c>
      <c r="J190" s="200">
        <v>0.42779467041541486</v>
      </c>
      <c r="K190" s="200">
        <v>1.0417382945260913</v>
      </c>
      <c r="L190" s="200"/>
      <c r="M190" s="200">
        <v>6.9434967161877303E-2</v>
      </c>
      <c r="N190" s="200">
        <v>7.7345266697298612E-3</v>
      </c>
    </row>
    <row r="191" spans="1:14" x14ac:dyDescent="0.55000000000000004">
      <c r="A191" s="13">
        <v>96</v>
      </c>
      <c r="B191" s="38" t="s">
        <v>314</v>
      </c>
      <c r="C191" s="147">
        <v>22.896380346221932</v>
      </c>
      <c r="D191" s="13">
        <v>61</v>
      </c>
      <c r="E191" s="38" t="s">
        <v>359</v>
      </c>
      <c r="F191" s="200">
        <v>0.43345286617495987</v>
      </c>
      <c r="G191" s="200">
        <v>0.77142527021423168</v>
      </c>
      <c r="H191" s="200">
        <v>10.089</v>
      </c>
      <c r="I191" s="200">
        <v>6.9155097328199286E-2</v>
      </c>
      <c r="J191" s="200">
        <v>2.1176345647244741</v>
      </c>
      <c r="K191" s="200">
        <v>8.1155627137277833</v>
      </c>
      <c r="L191" s="200"/>
      <c r="M191" s="200">
        <v>0.93997226322986327</v>
      </c>
      <c r="N191" s="200">
        <v>6.9155097328199286E-2</v>
      </c>
    </row>
    <row r="192" spans="1:14" x14ac:dyDescent="0.55000000000000004">
      <c r="A192" s="13">
        <v>97</v>
      </c>
      <c r="B192" s="38" t="s">
        <v>188</v>
      </c>
      <c r="C192" s="147">
        <v>0.26242704486504659</v>
      </c>
      <c r="D192" s="13">
        <v>62</v>
      </c>
      <c r="E192" s="38" t="s">
        <v>360</v>
      </c>
      <c r="F192" s="200">
        <v>4.9003102140789949E-2</v>
      </c>
      <c r="G192" s="200">
        <v>2.5794021066081158E-2</v>
      </c>
      <c r="H192" s="200">
        <v>0</v>
      </c>
      <c r="I192" s="200">
        <v>1.111830076681421E-3</v>
      </c>
      <c r="J192" s="200">
        <v>2.1535661857076376E-2</v>
      </c>
      <c r="K192" s="200">
        <v>0.15594703822883632</v>
      </c>
      <c r="L192" s="200"/>
      <c r="M192" s="200">
        <v>5.2227062205378013E-3</v>
      </c>
      <c r="N192" s="200">
        <v>1.111830076681421E-3</v>
      </c>
    </row>
    <row r="193" spans="1:14" x14ac:dyDescent="0.55000000000000004">
      <c r="A193" s="13">
        <v>98</v>
      </c>
      <c r="B193" s="38" t="s">
        <v>189</v>
      </c>
      <c r="C193" s="147">
        <v>0.82773713477747257</v>
      </c>
      <c r="D193" s="13">
        <v>63</v>
      </c>
      <c r="E193" s="38" t="s">
        <v>361</v>
      </c>
      <c r="F193" s="200">
        <v>9.1918247276009432E-2</v>
      </c>
      <c r="G193" s="200">
        <v>5.9610865921239445E-2</v>
      </c>
      <c r="H193" s="200">
        <v>0</v>
      </c>
      <c r="I193" s="200">
        <v>2.8123536843617024E-3</v>
      </c>
      <c r="J193" s="200">
        <v>0.24206683201492701</v>
      </c>
      <c r="K193" s="200">
        <v>0.40555667423154196</v>
      </c>
      <c r="L193" s="200"/>
      <c r="M193" s="200">
        <v>1.3583986229499573E-2</v>
      </c>
      <c r="N193" s="200">
        <v>2.8123536843617024E-3</v>
      </c>
    </row>
    <row r="194" spans="1:14" x14ac:dyDescent="0.55000000000000004">
      <c r="A194" s="13">
        <v>99</v>
      </c>
      <c r="B194" s="38" t="s">
        <v>179</v>
      </c>
      <c r="C194" s="147">
        <v>394.96873407445548</v>
      </c>
      <c r="D194" s="13">
        <v>64</v>
      </c>
      <c r="E194" s="38" t="s">
        <v>362</v>
      </c>
      <c r="F194" s="200">
        <v>16.367408618277629</v>
      </c>
      <c r="G194" s="200">
        <v>6.729442058111724</v>
      </c>
      <c r="H194" s="200"/>
      <c r="I194" s="200">
        <v>1.7986755262111507</v>
      </c>
      <c r="J194" s="200">
        <v>23.019517431001191</v>
      </c>
      <c r="K194" s="200">
        <v>3.5916605011616629</v>
      </c>
      <c r="L194" s="200"/>
      <c r="M194" s="200">
        <v>0.60298420160797539</v>
      </c>
      <c r="N194" s="200">
        <v>1.7986755262111507</v>
      </c>
    </row>
    <row r="195" spans="1:14" x14ac:dyDescent="0.55000000000000004">
      <c r="A195" s="13">
        <v>100</v>
      </c>
      <c r="B195" s="38" t="s">
        <v>180</v>
      </c>
      <c r="C195" s="147">
        <v>0.2957742016006778</v>
      </c>
      <c r="D195" s="13">
        <v>65</v>
      </c>
      <c r="E195" s="38" t="s">
        <v>363</v>
      </c>
      <c r="F195" s="200">
        <v>1.1979388461812863E-2</v>
      </c>
      <c r="G195" s="200">
        <v>1.887331869483122E-2</v>
      </c>
      <c r="H195" s="200"/>
      <c r="I195" s="200">
        <v>0.10012308753725141</v>
      </c>
      <c r="J195" s="200">
        <v>2.8729016639554239E-2</v>
      </c>
      <c r="K195" s="200">
        <v>2.5954255355506387E-2</v>
      </c>
      <c r="L195" s="200"/>
      <c r="M195" s="200">
        <v>7.0046991050326506E-3</v>
      </c>
      <c r="N195" s="200">
        <v>0.10012308753725141</v>
      </c>
    </row>
    <row r="196" spans="1:14" x14ac:dyDescent="0.55000000000000004">
      <c r="A196" s="13">
        <v>101</v>
      </c>
      <c r="B196" s="38" t="s">
        <v>178</v>
      </c>
      <c r="C196" s="146">
        <v>13566.336417956321</v>
      </c>
      <c r="D196" s="13">
        <v>66</v>
      </c>
      <c r="E196" s="38" t="s">
        <v>364</v>
      </c>
      <c r="F196" s="200">
        <v>2601.1869402186298</v>
      </c>
      <c r="G196" s="200">
        <v>2095.5233802964281</v>
      </c>
      <c r="H196" s="200">
        <v>462.92408559485364</v>
      </c>
      <c r="I196" s="200">
        <v>149.3366853703518</v>
      </c>
      <c r="J196" s="200">
        <v>6346.3588001707485</v>
      </c>
      <c r="K196" s="200">
        <v>990.06251064526236</v>
      </c>
      <c r="L196" s="200"/>
      <c r="M196" s="200">
        <v>563.00158461596322</v>
      </c>
      <c r="N196" s="200">
        <v>149.3366853703518</v>
      </c>
    </row>
    <row r="197" spans="1:14" x14ac:dyDescent="0.55000000000000004">
      <c r="A197" s="13">
        <v>102</v>
      </c>
      <c r="B197" s="38" t="s">
        <v>319</v>
      </c>
      <c r="C197" s="168">
        <f>C186*Fuel_Specs!$B$19/Fuel_Specs!$B$22+C187*Fuel_Specs!$B$20/Fuel_Specs!$B$22+C196</f>
        <v>13640.355539522117</v>
      </c>
      <c r="D197" s="13">
        <v>67</v>
      </c>
      <c r="E197" s="38" t="s">
        <v>365</v>
      </c>
      <c r="F197" s="200">
        <v>190.01958245249233</v>
      </c>
      <c r="G197" s="200">
        <v>26.850593172634785</v>
      </c>
      <c r="H197" s="200"/>
      <c r="I197" s="200">
        <v>3.7967467721485839</v>
      </c>
      <c r="J197" s="200">
        <v>21.803342192762525</v>
      </c>
      <c r="K197" s="200">
        <v>45.672264172207804</v>
      </c>
      <c r="L197" s="200">
        <v>21.803342192762521</v>
      </c>
      <c r="M197" s="200">
        <v>21.803342192762525</v>
      </c>
      <c r="N197" s="200">
        <v>3.7967467721485839</v>
      </c>
    </row>
    <row r="198" spans="1:14" x14ac:dyDescent="0.55000000000000004">
      <c r="A198" s="13">
        <v>103</v>
      </c>
      <c r="B198" s="42" t="s">
        <v>320</v>
      </c>
      <c r="C198" s="169">
        <f>C197+C194*CH4_GWP_20yr+C195*N2O_GWP_20yr</f>
        <v>46306.022457701685</v>
      </c>
      <c r="E198" s="204" t="s">
        <v>321</v>
      </c>
      <c r="F198" s="204">
        <f>F186*Fuel_Specs!$B$19/Fuel_Specs!$B$22+F187*Fuel_Specs!$B$20/Fuel_Specs!$B$22+(F194+F197)*CH4_GWP_20yr+F195*N2O_GWP_20yr+F196</f>
        <v>19661.120117383311</v>
      </c>
      <c r="G198" s="204">
        <f>G186*Fuel_Specs!$B$19/Fuel_Specs!$B$22+G187*Fuel_Specs!$B$20/Fuel_Specs!$B$22+(G194+G197)*CH4_GWP_20yr+G195*N2O_GWP_20yr+G196</f>
        <v>4874.1453320503579</v>
      </c>
      <c r="H198" s="204">
        <f>H186*Fuel_Specs!$B$19/Fuel_Specs!$B$22+H187*Fuel_Specs!$B$20/Fuel_Specs!$B$22+(H194+H197)*CH4_GWP_20yr+H195*N2O_GWP_20yr+H196</f>
        <v>478.52313321390125</v>
      </c>
      <c r="I198" s="204">
        <f>I186*Fuel_Specs!$B$19/Fuel_Specs!$B$22+I187*Fuel_Specs!$B$20/Fuel_Specs!$B$22+(I194+I197)*CH4_GWP_20yr+I195*N2O_GWP_20yr+I196</f>
        <v>641.47839936206572</v>
      </c>
      <c r="J198" s="204">
        <f>J186*Fuel_Specs!$B$19/Fuel_Specs!$B$22+J187*Fuel_Specs!$B$20/Fuel_Specs!$B$22+(J194+J197)*CH4_GWP_20yr+J195*N2O_GWP_20yr+J196</f>
        <v>10063.361187328119</v>
      </c>
      <c r="K198" s="204">
        <f>K186*Fuel_Specs!$B$19/Fuel_Specs!$B$22+K187*Fuel_Specs!$B$20/Fuel_Specs!$B$22+(K194+K197)*CH4_GWP_20yr+K195*N2O_GWP_20yr+K196</f>
        <v>5067.5402474663124</v>
      </c>
      <c r="L198" s="204">
        <f>L186*Fuel_Specs!$B$19/Fuel_Specs!$B$22+L187*Fuel_Specs!$B$20/Fuel_Specs!$B$22+(L194+L197)*CH4_GWP_20yr+L195*N2O_GWP_20yr+L196</f>
        <v>1798.775730902908</v>
      </c>
      <c r="M198" s="204">
        <f>M186*Fuel_Specs!$B$19/Fuel_Specs!$B$22+M187*Fuel_Specs!$B$20/Fuel_Specs!$B$22+(M194+M197)*CH4_GWP_20yr+M195*N2O_GWP_20yr+M196</f>
        <v>2414.0820746207955</v>
      </c>
      <c r="N198" s="204">
        <f>N186*Fuel_Specs!$B$19/Fuel_Specs!$B$22+N187*Fuel_Specs!$B$20/Fuel_Specs!$B$22+(N194+N197)*CH4_GWP_20yr+N195*N2O_GWP_20yr+N196</f>
        <v>641.47839936206572</v>
      </c>
    </row>
    <row r="200" spans="1:14" x14ac:dyDescent="0.55000000000000004">
      <c r="D200" s="221" t="s">
        <v>366</v>
      </c>
    </row>
    <row r="201" spans="1:14" x14ac:dyDescent="0.55000000000000004">
      <c r="B201" s="170" t="s">
        <v>367</v>
      </c>
      <c r="C201" s="206">
        <f>(F198*G185+G198+H198)*I185*J185*K185*L185*M185*N185</f>
        <v>25464.5735152372</v>
      </c>
      <c r="D201" s="206"/>
    </row>
    <row r="202" spans="1:14" x14ac:dyDescent="0.55000000000000004">
      <c r="B202" s="170" t="s">
        <v>388</v>
      </c>
      <c r="C202" s="206">
        <f>I198*J185*K185*L185*M185*N185</f>
        <v>652.91859001406658</v>
      </c>
      <c r="D202" s="220">
        <f>$I$185*$J$185*$K$185*$L$185*$M$185*$N$185</f>
        <v>1.0180214576892341</v>
      </c>
    </row>
    <row r="203" spans="1:14" x14ac:dyDescent="0.55000000000000004">
      <c r="B203" s="170" t="s">
        <v>389</v>
      </c>
      <c r="C203" s="206">
        <f>J198*K185*L185*M185*N185</f>
        <v>10232.548220469367</v>
      </c>
      <c r="D203" s="220">
        <f>$J$185*$K$185*$L$185*$M$185*$N$185</f>
        <v>1.0178341011378993</v>
      </c>
    </row>
    <row r="204" spans="1:14" x14ac:dyDescent="0.55000000000000004">
      <c r="B204" s="170" t="s">
        <v>62</v>
      </c>
      <c r="C204" s="206">
        <f>K198*L185*M185*N185</f>
        <v>5099.0623029371563</v>
      </c>
      <c r="D204" s="220">
        <f>$K$185*$L$185*$M$185*$N$185</f>
        <v>1.0168121793496083</v>
      </c>
    </row>
    <row r="205" spans="1:14" x14ac:dyDescent="0.55000000000000004">
      <c r="B205" s="170" t="s">
        <v>63</v>
      </c>
      <c r="C205" s="206">
        <f>L198*M185*N185</f>
        <v>1800.9149858935564</v>
      </c>
      <c r="D205" s="220">
        <f>$L$185*$M$185*$N$185</f>
        <v>1.0062203858147165</v>
      </c>
    </row>
    <row r="206" spans="1:14" x14ac:dyDescent="0.55000000000000004">
      <c r="B206" s="170" t="s">
        <v>64</v>
      </c>
      <c r="C206" s="206">
        <f>M198*N185</f>
        <v>2414.5264437882606</v>
      </c>
      <c r="D206" s="220">
        <f>$M$185*$N$185</f>
        <v>1.0011892838856429</v>
      </c>
    </row>
    <row r="207" spans="1:14" x14ac:dyDescent="0.55000000000000004">
      <c r="B207" s="170" t="s">
        <v>65</v>
      </c>
      <c r="C207" s="206">
        <f>N198</f>
        <v>641.47839936206572</v>
      </c>
      <c r="D207" s="220">
        <f>$N$185</f>
        <v>1.0001840737612597</v>
      </c>
    </row>
    <row r="208" spans="1:14" x14ac:dyDescent="0.55000000000000004">
      <c r="B208" s="170" t="s">
        <v>96</v>
      </c>
      <c r="C208" s="206">
        <f>SUM(C201:C207)</f>
        <v>46306.022457701671</v>
      </c>
    </row>
    <row r="212" spans="1:6" ht="15.75" customHeight="1" x14ac:dyDescent="0.55000000000000004">
      <c r="A212" s="35" t="s">
        <v>392</v>
      </c>
      <c r="B212" s="35"/>
      <c r="C212" s="35"/>
      <c r="D212" s="35"/>
      <c r="E212" s="35"/>
      <c r="F212" s="35"/>
    </row>
    <row r="213" spans="1:6" x14ac:dyDescent="0.55000000000000004">
      <c r="C213" s="14" t="s">
        <v>268</v>
      </c>
      <c r="D213" s="14" t="s">
        <v>227</v>
      </c>
      <c r="E213" s="14" t="s">
        <v>393</v>
      </c>
      <c r="F213" s="14" t="s">
        <v>394</v>
      </c>
    </row>
    <row r="214" spans="1:6" x14ac:dyDescent="0.55000000000000004">
      <c r="B214" s="37"/>
      <c r="C214" s="148" t="s">
        <v>395</v>
      </c>
      <c r="D214" s="149"/>
      <c r="E214" s="148" t="s">
        <v>396</v>
      </c>
      <c r="F214" s="149"/>
    </row>
    <row r="215" spans="1:6" x14ac:dyDescent="0.55000000000000004">
      <c r="B215" s="38"/>
      <c r="C215" s="150" t="s">
        <v>397</v>
      </c>
      <c r="D215" s="151" t="s">
        <v>398</v>
      </c>
      <c r="E215" s="150" t="s">
        <v>399</v>
      </c>
      <c r="F215" s="151" t="s">
        <v>398</v>
      </c>
    </row>
    <row r="216" spans="1:6" x14ac:dyDescent="0.55000000000000004">
      <c r="A216" s="13">
        <v>554</v>
      </c>
      <c r="B216" s="38" t="s">
        <v>337</v>
      </c>
      <c r="C216" s="3"/>
      <c r="D216" s="41">
        <v>1.0005044983835341</v>
      </c>
      <c r="E216" s="3"/>
      <c r="F216" s="41">
        <v>1.0005044983835341</v>
      </c>
    </row>
    <row r="217" spans="1:6" x14ac:dyDescent="0.55000000000000004">
      <c r="A217" s="13">
        <v>561</v>
      </c>
      <c r="B217" s="38" t="s">
        <v>185</v>
      </c>
      <c r="C217" s="153">
        <v>5.0348813633364893</v>
      </c>
      <c r="D217" s="154">
        <v>55.321806283069925</v>
      </c>
      <c r="E217" s="153">
        <v>176.44332783274569</v>
      </c>
      <c r="F217" s="154">
        <v>54.020624250675269</v>
      </c>
    </row>
    <row r="218" spans="1:6" x14ac:dyDescent="0.55000000000000004">
      <c r="A218" s="13">
        <v>562</v>
      </c>
      <c r="B218" s="38" t="s">
        <v>186</v>
      </c>
      <c r="C218" s="153">
        <v>19.879274504406599</v>
      </c>
      <c r="D218" s="154">
        <v>20.896598497316607</v>
      </c>
      <c r="E218" s="153">
        <v>2203.3744797696286</v>
      </c>
      <c r="F218" s="154">
        <v>25.235540307121401</v>
      </c>
    </row>
    <row r="219" spans="1:6" x14ac:dyDescent="0.55000000000000004">
      <c r="A219" s="13">
        <v>563</v>
      </c>
      <c r="B219" s="38" t="s">
        <v>187</v>
      </c>
      <c r="C219" s="153">
        <v>54.27642336465891</v>
      </c>
      <c r="D219" s="154">
        <v>40.352634868806824</v>
      </c>
      <c r="E219" s="153">
        <v>146.24600069736158</v>
      </c>
      <c r="F219" s="154">
        <v>187.27349060170803</v>
      </c>
    </row>
    <row r="220" spans="1:6" x14ac:dyDescent="0.55000000000000004">
      <c r="A220" s="13">
        <v>564</v>
      </c>
      <c r="B220" s="38" t="s">
        <v>312</v>
      </c>
      <c r="C220" s="153">
        <v>2.8687470528767074</v>
      </c>
      <c r="D220" s="154">
        <v>13.753041744392704</v>
      </c>
      <c r="E220" s="153">
        <v>189.21452031760936</v>
      </c>
      <c r="F220" s="154">
        <v>123.48641497491566</v>
      </c>
    </row>
    <row r="221" spans="1:6" x14ac:dyDescent="0.55000000000000004">
      <c r="A221" s="13">
        <v>565</v>
      </c>
      <c r="B221" s="38" t="s">
        <v>313</v>
      </c>
      <c r="C221" s="153">
        <v>2.4013823732308621</v>
      </c>
      <c r="D221" s="154">
        <v>4.0589769850617143</v>
      </c>
      <c r="E221" s="153">
        <v>66.052883777563565</v>
      </c>
      <c r="F221" s="154">
        <v>61.109276038143271</v>
      </c>
    </row>
    <row r="222" spans="1:6" x14ac:dyDescent="0.55000000000000004">
      <c r="A222" s="13">
        <v>566</v>
      </c>
      <c r="B222" s="38" t="s">
        <v>314</v>
      </c>
      <c r="C222" s="153">
        <v>11.404089285354306</v>
      </c>
      <c r="D222" s="154">
        <v>13.708607992529952</v>
      </c>
      <c r="E222" s="153">
        <v>17.561379093125883</v>
      </c>
      <c r="F222" s="154">
        <v>64.251397180590857</v>
      </c>
    </row>
    <row r="223" spans="1:6" x14ac:dyDescent="0.55000000000000004">
      <c r="A223" s="13">
        <v>567</v>
      </c>
      <c r="B223" s="38" t="s">
        <v>188</v>
      </c>
      <c r="C223" s="153">
        <v>0.47466881510588133</v>
      </c>
      <c r="D223" s="154">
        <v>0.29729489032454365</v>
      </c>
      <c r="E223" s="153">
        <v>9.9785074505846119</v>
      </c>
      <c r="F223" s="154">
        <v>8.2631529195419162</v>
      </c>
    </row>
    <row r="224" spans="1:6" x14ac:dyDescent="0.55000000000000004">
      <c r="A224" s="13">
        <v>568</v>
      </c>
      <c r="B224" s="38" t="s">
        <v>189</v>
      </c>
      <c r="C224" s="153">
        <v>0.42223489292302691</v>
      </c>
      <c r="D224" s="154">
        <v>0.89000423537789319</v>
      </c>
      <c r="E224" s="153">
        <v>21.76951150592129</v>
      </c>
      <c r="F224" s="154">
        <v>19.788668289834867</v>
      </c>
    </row>
    <row r="225" spans="1:6" x14ac:dyDescent="0.55000000000000004">
      <c r="A225" s="13">
        <v>569</v>
      </c>
      <c r="B225" s="38" t="s">
        <v>179</v>
      </c>
      <c r="C225" s="153">
        <v>27.894504112855572</v>
      </c>
      <c r="D225" s="154">
        <v>147.21986820562984</v>
      </c>
      <c r="E225" s="153">
        <v>113.91769764078063</v>
      </c>
      <c r="F225" s="154">
        <v>41.642620047559149</v>
      </c>
    </row>
    <row r="226" spans="1:6" x14ac:dyDescent="0.55000000000000004">
      <c r="A226" s="13">
        <v>570</v>
      </c>
      <c r="B226" s="38" t="s">
        <v>180</v>
      </c>
      <c r="C226" s="153">
        <v>37.815854052054128</v>
      </c>
      <c r="D226" s="154">
        <v>0.44944832903484661</v>
      </c>
      <c r="E226" s="153">
        <v>40.013783241319409</v>
      </c>
      <c r="F226" s="154">
        <v>5.0216040018676145</v>
      </c>
    </row>
    <row r="227" spans="1:6" x14ac:dyDescent="0.55000000000000004">
      <c r="A227" s="13">
        <v>571</v>
      </c>
      <c r="B227" s="38" t="s">
        <v>178</v>
      </c>
      <c r="C227" s="48">
        <v>16328.834385263972</v>
      </c>
      <c r="D227" s="152">
        <v>30228.31907513037</v>
      </c>
      <c r="E227" s="48">
        <v>10269.106189117219</v>
      </c>
      <c r="F227" s="152">
        <v>5982.1003454828005</v>
      </c>
    </row>
    <row r="228" spans="1:6" x14ac:dyDescent="0.55000000000000004">
      <c r="A228" s="13">
        <v>572</v>
      </c>
      <c r="B228" s="38" t="s">
        <v>319</v>
      </c>
      <c r="C228" s="168">
        <f>C217*Fuel_Specs!$B$19/Fuel_Specs!$B$22+C218*Fuel_Specs!$B$20/Fuel_Specs!$B$22+C227</f>
        <v>16375.7652921152</v>
      </c>
      <c r="D228" s="138">
        <f>D217*Fuel_Specs!$B$19/Fuel_Specs!$B$22+D218*Fuel_Specs!$B$20/Fuel_Specs!$B$22+D227</f>
        <v>30433.57621663696</v>
      </c>
      <c r="E228" s="168">
        <f>E217*Fuel_Specs!$B$19/Fuel_Specs!$B$22+E218*Fuel_Specs!$B$20/Fuel_Specs!$B$22+E227</f>
        <v>14281.466838595836</v>
      </c>
      <c r="F228" s="138">
        <f>F217*Fuel_Specs!$B$19/Fuel_Specs!$B$22+F218*Fuel_Specs!$B$20/Fuel_Specs!$B$22+F227</f>
        <v>6190.1204734514531</v>
      </c>
    </row>
    <row r="229" spans="1:6" x14ac:dyDescent="0.55000000000000004">
      <c r="A229" s="13">
        <v>573</v>
      </c>
      <c r="B229" s="42" t="s">
        <v>320</v>
      </c>
      <c r="C229" s="169">
        <f>C228+C225*CH4_GWP_20yr+C226*N2O_GWP_20yr</f>
        <v>29000.790037636558</v>
      </c>
      <c r="D229" s="139">
        <f>D228+D225*CH4_GWP_20yr+D226*N2O_GWP_20yr</f>
        <v>42701.914737427935</v>
      </c>
      <c r="E229" s="169">
        <f>E228+E225*CH4_GWP_20yr+E226*N2O_GWP_20yr</f>
        <v>34603.43971884044</v>
      </c>
      <c r="F229" s="139">
        <f>F228+F225*CH4_GWP_20yr+F226*N2O_GWP_20yr</f>
        <v>10996.534519884941</v>
      </c>
    </row>
    <row r="231" spans="1:6" x14ac:dyDescent="0.55000000000000004">
      <c r="B231" s="128" t="s">
        <v>321</v>
      </c>
      <c r="C231" s="129">
        <f>C229*D216+D229</f>
        <v>71717.335626759683</v>
      </c>
      <c r="E231" s="129">
        <f>E229*F216+F229</f>
        <v>45617.431618128256</v>
      </c>
    </row>
    <row r="232" spans="1:6" x14ac:dyDescent="0.55000000000000004">
      <c r="B232" s="128" t="s">
        <v>400</v>
      </c>
      <c r="C232" s="155">
        <f>C231/mmBTU2MJ</f>
        <v>67.974918699099845</v>
      </c>
      <c r="E232" s="155">
        <f>E231/mmBTU2MJ</f>
        <v>43.236982779753561</v>
      </c>
    </row>
    <row r="235" spans="1:6" ht="15.75" customHeight="1" x14ac:dyDescent="0.55000000000000004">
      <c r="A235" s="35" t="s">
        <v>401</v>
      </c>
      <c r="B235" s="35"/>
      <c r="C235" s="35"/>
      <c r="D235" s="35"/>
      <c r="E235" s="35"/>
      <c r="F235" s="35"/>
    </row>
    <row r="238" spans="1:6" x14ac:dyDescent="0.55000000000000004">
      <c r="C238" s="14" t="s">
        <v>402</v>
      </c>
      <c r="D238" s="14" t="s">
        <v>371</v>
      </c>
    </row>
    <row r="239" spans="1:6" x14ac:dyDescent="0.55000000000000004">
      <c r="B239" s="128"/>
      <c r="C239" s="568" t="s">
        <v>403</v>
      </c>
      <c r="D239" s="569"/>
    </row>
    <row r="240" spans="1:6" x14ac:dyDescent="0.55000000000000004">
      <c r="B240" s="128"/>
      <c r="C240" s="40" t="s">
        <v>95</v>
      </c>
      <c r="D240" s="39" t="s">
        <v>39</v>
      </c>
    </row>
    <row r="241" spans="1:4" x14ac:dyDescent="0.55000000000000004">
      <c r="A241" s="13">
        <v>433</v>
      </c>
      <c r="B241" s="38" t="s">
        <v>337</v>
      </c>
      <c r="C241" s="4"/>
      <c r="D241" s="41">
        <v>1.0000389867970996</v>
      </c>
    </row>
    <row r="242" spans="1:4" x14ac:dyDescent="0.55000000000000004">
      <c r="A242" s="13">
        <v>434</v>
      </c>
      <c r="B242" s="159" t="s">
        <v>27</v>
      </c>
      <c r="C242" s="156" t="s">
        <v>404</v>
      </c>
      <c r="D242" s="157" t="s">
        <v>404</v>
      </c>
    </row>
    <row r="243" spans="1:4" x14ac:dyDescent="0.55000000000000004">
      <c r="A243" s="13">
        <v>441</v>
      </c>
      <c r="B243" s="38" t="s">
        <v>185</v>
      </c>
      <c r="C243" s="158">
        <v>2.4077823608080848</v>
      </c>
      <c r="D243" s="154">
        <v>18.841025033531071</v>
      </c>
    </row>
    <row r="244" spans="1:4" x14ac:dyDescent="0.55000000000000004">
      <c r="A244" s="13">
        <v>442</v>
      </c>
      <c r="B244" s="38" t="s">
        <v>186</v>
      </c>
      <c r="C244" s="158">
        <v>10.195260046285227</v>
      </c>
      <c r="D244" s="154">
        <v>7.0641030270175689</v>
      </c>
    </row>
    <row r="245" spans="1:4" x14ac:dyDescent="0.55000000000000004">
      <c r="A245" s="13">
        <v>443</v>
      </c>
      <c r="B245" s="38" t="s">
        <v>187</v>
      </c>
      <c r="C245" s="158">
        <v>13.54833672285061</v>
      </c>
      <c r="D245" s="154">
        <v>19.495804922684481</v>
      </c>
    </row>
    <row r="246" spans="1:4" x14ac:dyDescent="0.55000000000000004">
      <c r="A246" s="13">
        <v>444</v>
      </c>
      <c r="B246" s="38" t="s">
        <v>312</v>
      </c>
      <c r="C246" s="158">
        <v>1.1151838389990474</v>
      </c>
      <c r="D246" s="154">
        <v>1.1193597182371451</v>
      </c>
    </row>
    <row r="247" spans="1:4" x14ac:dyDescent="0.55000000000000004">
      <c r="A247" s="13">
        <v>445</v>
      </c>
      <c r="B247" s="38" t="s">
        <v>313</v>
      </c>
      <c r="C247" s="158">
        <v>0.95298937400687023</v>
      </c>
      <c r="D247" s="154">
        <v>0.88696652481898919</v>
      </c>
    </row>
    <row r="248" spans="1:4" x14ac:dyDescent="0.55000000000000004">
      <c r="A248" s="13">
        <v>446</v>
      </c>
      <c r="B248" s="38" t="s">
        <v>314</v>
      </c>
      <c r="C248" s="158">
        <v>6.9085900330954075</v>
      </c>
      <c r="D248" s="154">
        <v>11.274036734841401</v>
      </c>
    </row>
    <row r="249" spans="1:4" x14ac:dyDescent="0.55000000000000004">
      <c r="A249" s="13">
        <v>447</v>
      </c>
      <c r="B249" s="38" t="s">
        <v>188</v>
      </c>
      <c r="C249" s="158">
        <v>0.2919525828486188</v>
      </c>
      <c r="D249" s="154">
        <v>8.791567742529105E-2</v>
      </c>
    </row>
    <row r="250" spans="1:4" x14ac:dyDescent="0.55000000000000004">
      <c r="A250" s="13">
        <v>448</v>
      </c>
      <c r="B250" s="38" t="s">
        <v>189</v>
      </c>
      <c r="C250" s="158">
        <v>0.18558207459512094</v>
      </c>
      <c r="D250" s="154">
        <v>0.18147008201711379</v>
      </c>
    </row>
    <row r="251" spans="1:4" x14ac:dyDescent="0.55000000000000004">
      <c r="A251" s="13">
        <v>449</v>
      </c>
      <c r="B251" s="38" t="s">
        <v>179</v>
      </c>
      <c r="C251" s="158">
        <v>6.1304540329237138</v>
      </c>
      <c r="D251" s="154">
        <v>27.795242583115158</v>
      </c>
    </row>
    <row r="252" spans="1:4" x14ac:dyDescent="0.55000000000000004">
      <c r="A252" s="13">
        <v>450</v>
      </c>
      <c r="B252" s="38" t="s">
        <v>180</v>
      </c>
      <c r="C252" s="158">
        <v>22.818301707685357</v>
      </c>
      <c r="D252" s="154">
        <v>0.19009029752476583</v>
      </c>
    </row>
    <row r="253" spans="1:4" x14ac:dyDescent="0.55000000000000004">
      <c r="A253" s="13">
        <v>451</v>
      </c>
      <c r="B253" s="38" t="s">
        <v>178</v>
      </c>
      <c r="C253" s="52">
        <v>4081.4188418434942</v>
      </c>
      <c r="D253" s="152">
        <v>18817.332515834882</v>
      </c>
    </row>
    <row r="254" spans="1:4" x14ac:dyDescent="0.55000000000000004">
      <c r="A254" s="13">
        <v>452</v>
      </c>
      <c r="B254" s="38" t="s">
        <v>319</v>
      </c>
      <c r="C254" s="168">
        <f>C243*Fuel_Specs!$B$19/Fuel_Specs!$B$22+C244*Fuel_Specs!$B$20/Fuel_Specs!$B$22+C253</f>
        <v>4104.9442197978897</v>
      </c>
      <c r="D254" s="168">
        <f>D243*Fuel_Specs!$B$19/Fuel_Specs!$B$22+D244*Fuel_Specs!$B$20/Fuel_Specs!$B$22+D253</f>
        <v>18887.15444385089</v>
      </c>
    </row>
    <row r="255" spans="1:4" x14ac:dyDescent="0.55000000000000004">
      <c r="A255" s="13">
        <v>453</v>
      </c>
      <c r="B255" s="42" t="s">
        <v>320</v>
      </c>
      <c r="C255" s="169">
        <f>C254+C251*CH4_GWP_20yr+C252*N2O_GWP_20yr</f>
        <v>10840.103043712199</v>
      </c>
      <c r="D255" s="169">
        <f>D254+D251*CH4_GWP_20yr+D252*N2O_GWP_20yr</f>
        <v>21232.156608182151</v>
      </c>
    </row>
    <row r="257" spans="1:6" x14ac:dyDescent="0.55000000000000004">
      <c r="B257" s="128" t="s">
        <v>321</v>
      </c>
      <c r="C257" s="129">
        <f>C255*D241+D255</f>
        <v>32072.682272792255</v>
      </c>
    </row>
    <row r="258" spans="1:6" x14ac:dyDescent="0.55000000000000004">
      <c r="B258" s="128" t="s">
        <v>400</v>
      </c>
      <c r="C258" s="155">
        <f>C257/mmBTU2MJ</f>
        <v>30.399037428011283</v>
      </c>
    </row>
    <row r="261" spans="1:6" ht="15.75" customHeight="1" x14ac:dyDescent="0.55000000000000004">
      <c r="A261" s="35" t="s">
        <v>405</v>
      </c>
      <c r="B261" s="35"/>
      <c r="C261" s="35"/>
      <c r="D261" s="35"/>
      <c r="E261" s="35"/>
      <c r="F261" s="35"/>
    </row>
    <row r="262" spans="1:6" x14ac:dyDescent="0.55000000000000004">
      <c r="B262" t="s">
        <v>406</v>
      </c>
      <c r="C262" s="166">
        <v>100</v>
      </c>
      <c r="E262" t="s">
        <v>407</v>
      </c>
    </row>
    <row r="263" spans="1:6" x14ac:dyDescent="0.55000000000000004">
      <c r="C263" t="s">
        <v>408</v>
      </c>
      <c r="D263" t="s">
        <v>409</v>
      </c>
    </row>
    <row r="264" spans="1:6" x14ac:dyDescent="0.55000000000000004">
      <c r="B264" s="37"/>
      <c r="C264" s="568" t="s">
        <v>410</v>
      </c>
      <c r="D264" s="569"/>
      <c r="E264" s="568" t="s">
        <v>411</v>
      </c>
      <c r="F264" s="569"/>
    </row>
    <row r="265" spans="1:6" x14ac:dyDescent="0.55000000000000004">
      <c r="B265" s="42"/>
      <c r="C265" s="1" t="s">
        <v>412</v>
      </c>
      <c r="D265" s="2" t="s">
        <v>413</v>
      </c>
      <c r="E265" s="1" t="s">
        <v>95</v>
      </c>
      <c r="F265" s="2" t="s">
        <v>39</v>
      </c>
    </row>
    <row r="266" spans="1:6" x14ac:dyDescent="0.55000000000000004">
      <c r="B266" s="38" t="s">
        <v>337</v>
      </c>
      <c r="C266" s="4"/>
      <c r="D266" s="41"/>
      <c r="F266" s="130">
        <v>1.408572504040601</v>
      </c>
    </row>
    <row r="267" spans="1:6" x14ac:dyDescent="0.55000000000000004">
      <c r="A267" s="13">
        <v>332</v>
      </c>
      <c r="B267" s="38" t="s">
        <v>185</v>
      </c>
      <c r="C267" s="4">
        <v>13.811000379719193</v>
      </c>
      <c r="D267" s="41">
        <v>0</v>
      </c>
      <c r="E267" s="4">
        <v>11.10737451874002</v>
      </c>
      <c r="F267" s="41">
        <v>1.6188351301602752</v>
      </c>
    </row>
    <row r="268" spans="1:6" x14ac:dyDescent="0.55000000000000004">
      <c r="A268" s="13">
        <v>333</v>
      </c>
      <c r="B268" s="38" t="s">
        <v>186</v>
      </c>
      <c r="C268" s="4">
        <v>35.970355182327438</v>
      </c>
      <c r="D268" s="41">
        <v>0</v>
      </c>
      <c r="E268" s="4">
        <v>35.005806483982589</v>
      </c>
      <c r="F268" s="41">
        <v>5.7577278601356934</v>
      </c>
    </row>
    <row r="269" spans="1:6" x14ac:dyDescent="0.55000000000000004">
      <c r="A269" s="13">
        <v>334</v>
      </c>
      <c r="B269" s="38" t="s">
        <v>187</v>
      </c>
      <c r="C269" s="4">
        <v>43.234374982738416</v>
      </c>
      <c r="D269" s="41">
        <v>0</v>
      </c>
      <c r="E269" s="4">
        <v>41.189695527041394</v>
      </c>
      <c r="F269" s="41">
        <v>10.198199796145564</v>
      </c>
    </row>
    <row r="270" spans="1:6" x14ac:dyDescent="0.55000000000000004">
      <c r="A270" s="13">
        <v>335</v>
      </c>
      <c r="B270" s="38" t="s">
        <v>312</v>
      </c>
      <c r="C270" s="4">
        <v>2.1412724593608266</v>
      </c>
      <c r="D270" s="41">
        <v>0</v>
      </c>
      <c r="E270" s="4">
        <v>0.40605408167833523</v>
      </c>
      <c r="F270" s="41">
        <v>1.475708791302522</v>
      </c>
    </row>
    <row r="271" spans="1:6" x14ac:dyDescent="0.55000000000000004">
      <c r="A271" s="13">
        <v>336</v>
      </c>
      <c r="B271" s="38" t="s">
        <v>313</v>
      </c>
      <c r="C271" s="4">
        <v>2.0239401917979558</v>
      </c>
      <c r="D271" s="41">
        <v>0</v>
      </c>
      <c r="E271" s="4">
        <v>0.38388071900212983</v>
      </c>
      <c r="F271" s="41">
        <v>0.83355155967408179</v>
      </c>
    </row>
    <row r="272" spans="1:6" x14ac:dyDescent="0.55000000000000004">
      <c r="A272" s="13">
        <v>337</v>
      </c>
      <c r="B272" s="38" t="s">
        <v>314</v>
      </c>
      <c r="C272" s="4">
        <v>13.214782917247568</v>
      </c>
      <c r="D272" s="41">
        <v>0</v>
      </c>
      <c r="E272" s="4">
        <v>11.21081044396761</v>
      </c>
      <c r="F272" s="41">
        <v>8.5358532711226616</v>
      </c>
    </row>
    <row r="273" spans="1:6" x14ac:dyDescent="0.55000000000000004">
      <c r="A273" s="13">
        <v>338</v>
      </c>
      <c r="B273" s="38" t="s">
        <v>188</v>
      </c>
      <c r="C273" s="4">
        <v>0.18255654459617437</v>
      </c>
      <c r="D273" s="41">
        <v>0</v>
      </c>
      <c r="E273" s="4">
        <v>7.7172328681668068E-2</v>
      </c>
      <c r="F273" s="41">
        <v>4.4428430919118564E-2</v>
      </c>
    </row>
    <row r="274" spans="1:6" x14ac:dyDescent="0.55000000000000004">
      <c r="A274" s="13">
        <v>339</v>
      </c>
      <c r="B274" s="38" t="s">
        <v>189</v>
      </c>
      <c r="C274" s="4">
        <v>0.4395951257509193</v>
      </c>
      <c r="D274" s="41">
        <v>0</v>
      </c>
      <c r="E274" s="4">
        <v>0.16201588436422229</v>
      </c>
      <c r="F274" s="41">
        <v>0.23240012699406687</v>
      </c>
    </row>
    <row r="275" spans="1:6" x14ac:dyDescent="0.55000000000000004">
      <c r="A275" s="13">
        <v>340</v>
      </c>
      <c r="B275" s="38" t="s">
        <v>179</v>
      </c>
      <c r="C275" s="4">
        <v>238.70600625981672</v>
      </c>
      <c r="D275" s="41">
        <v>0</v>
      </c>
      <c r="E275" s="4">
        <v>210.7900369224038</v>
      </c>
      <c r="F275" s="41">
        <v>28.127967966607887</v>
      </c>
    </row>
    <row r="276" spans="1:6" x14ac:dyDescent="0.55000000000000004">
      <c r="A276" s="13">
        <v>341</v>
      </c>
      <c r="B276" s="38" t="s">
        <v>180</v>
      </c>
      <c r="C276" s="4">
        <v>1.7294019367014257</v>
      </c>
      <c r="D276" s="41">
        <v>0</v>
      </c>
      <c r="E276" s="4">
        <v>1.4169237847893239</v>
      </c>
      <c r="F276" s="41">
        <v>0.26697900482878245</v>
      </c>
    </row>
    <row r="277" spans="1:6" x14ac:dyDescent="0.55000000000000004">
      <c r="A277" s="13">
        <v>342</v>
      </c>
      <c r="B277" s="38" t="s">
        <v>178</v>
      </c>
      <c r="C277" s="5">
        <v>75076.396370578237</v>
      </c>
      <c r="D277" s="7">
        <v>0</v>
      </c>
      <c r="E277" s="5">
        <v>6624.4916921424992</v>
      </c>
      <c r="F277" s="7">
        <v>17983.952596743908</v>
      </c>
    </row>
    <row r="278" spans="1:6" x14ac:dyDescent="0.55000000000000004">
      <c r="A278" s="13">
        <v>343</v>
      </c>
      <c r="B278" s="38" t="s">
        <v>319</v>
      </c>
      <c r="C278" s="168">
        <f>C267*Fuel_Specs!$B$19/Fuel_Specs!$B$22+C268*Fuel_Specs!$B$20/Fuel_Specs!$B$22+C277</f>
        <v>75175.965498952966</v>
      </c>
      <c r="D278" s="7">
        <v>0</v>
      </c>
      <c r="E278" s="168">
        <f>E267*Fuel_Specs!$B$19/Fuel_Specs!$B$22+E268*Fuel_Specs!$B$20/Fuel_Specs!$B$22+E277</f>
        <v>6714.1188005340691</v>
      </c>
      <c r="F278" s="168">
        <f>F267*Fuel_Specs!$B$19/Fuel_Specs!$B$22+F268*Fuel_Specs!$B$20/Fuel_Specs!$B$22+F277</f>
        <v>17998.045824298835</v>
      </c>
    </row>
    <row r="279" spans="1:6" x14ac:dyDescent="0.55000000000000004">
      <c r="A279" s="13">
        <v>344</v>
      </c>
      <c r="B279" s="44" t="s">
        <v>320</v>
      </c>
      <c r="C279" s="169">
        <f>C278+C275*CH4_GWP_20yr+C276*N2O_GWP_20yr</f>
        <v>95341.337744107339</v>
      </c>
      <c r="D279" s="6">
        <v>0</v>
      </c>
      <c r="E279" s="169">
        <f>E278+E275*CH4_GWP_20yr+E276*N2O_GWP_20yr</f>
        <v>24491.117039879868</v>
      </c>
      <c r="F279" s="169">
        <f>F278+F275*CH4_GWP_20yr+F276*N2O_GWP_20yr</f>
        <v>20391.488449862241</v>
      </c>
    </row>
    <row r="280" spans="1:6" x14ac:dyDescent="0.55000000000000004">
      <c r="B280" s="128" t="s">
        <v>400</v>
      </c>
      <c r="C280" s="155">
        <f>C279/mmBTU2MJ</f>
        <v>90.366152411843728</v>
      </c>
      <c r="E280" s="155">
        <f>(E279*F266+F279)/mmBTU2MJ</f>
        <v>52.02473642080394</v>
      </c>
    </row>
    <row r="281" spans="1:6" x14ac:dyDescent="0.55000000000000004">
      <c r="B281" s="38" t="s">
        <v>414</v>
      </c>
      <c r="C281" s="167">
        <f>C280/(10^6/Fuel_Specs!$B$64*Fuel_Specs!$E$64/10^3)</f>
        <v>10.276934980170463</v>
      </c>
      <c r="E281" s="167">
        <f>E280/(10^6/Fuel_Specs!$B$64*Fuel_Specs!$E$64/10^3)</f>
        <v>5.9165386517777021</v>
      </c>
    </row>
    <row r="284" spans="1:6" x14ac:dyDescent="0.55000000000000004">
      <c r="B284" t="s">
        <v>415</v>
      </c>
      <c r="C284" s="166">
        <v>0.45</v>
      </c>
    </row>
    <row r="285" spans="1:6" x14ac:dyDescent="0.55000000000000004">
      <c r="B285" t="s">
        <v>416</v>
      </c>
      <c r="C285" s="160">
        <f>C284*10^3/(10^3/Fuel_Specs!E64*Fuel_Specs!B64/10^6)</f>
        <v>3956.8965517241381</v>
      </c>
    </row>
    <row r="286" spans="1:6" x14ac:dyDescent="0.55000000000000004">
      <c r="B286" t="s">
        <v>417</v>
      </c>
      <c r="C286" s="160">
        <f>C299</f>
        <v>632.49297538994335</v>
      </c>
    </row>
    <row r="287" spans="1:6" x14ac:dyDescent="0.55000000000000004">
      <c r="B287" s="38" t="s">
        <v>354</v>
      </c>
      <c r="C287" s="131">
        <v>6.486320532159652E-2</v>
      </c>
    </row>
    <row r="288" spans="1:6" x14ac:dyDescent="0.55000000000000004">
      <c r="B288" s="38" t="s">
        <v>355</v>
      </c>
      <c r="C288" s="131">
        <v>0.23069964162495199</v>
      </c>
    </row>
    <row r="289" spans="1:3" x14ac:dyDescent="0.55000000000000004">
      <c r="B289" s="38" t="s">
        <v>356</v>
      </c>
      <c r="C289" s="131">
        <v>0.40861970126788755</v>
      </c>
    </row>
    <row r="290" spans="1:3" x14ac:dyDescent="0.55000000000000004">
      <c r="B290" s="38" t="s">
        <v>357</v>
      </c>
      <c r="C290" s="131">
        <v>5.9128443991491392E-2</v>
      </c>
    </row>
    <row r="291" spans="1:3" x14ac:dyDescent="0.55000000000000004">
      <c r="B291" s="38" t="s">
        <v>358</v>
      </c>
      <c r="C291" s="131">
        <v>3.3398599371835973E-2</v>
      </c>
    </row>
    <row r="292" spans="1:3" x14ac:dyDescent="0.55000000000000004">
      <c r="B292" s="38" t="s">
        <v>359</v>
      </c>
      <c r="C292" s="131">
        <v>0.34201308892094173</v>
      </c>
    </row>
    <row r="293" spans="1:3" x14ac:dyDescent="0.55000000000000004">
      <c r="B293" s="38" t="s">
        <v>360</v>
      </c>
      <c r="C293" s="131">
        <v>1.7801506670650524E-3</v>
      </c>
    </row>
    <row r="294" spans="1:3" x14ac:dyDescent="0.55000000000000004">
      <c r="B294" s="38" t="s">
        <v>361</v>
      </c>
      <c r="C294" s="131">
        <v>9.3117679948598719E-3</v>
      </c>
    </row>
    <row r="295" spans="1:3" x14ac:dyDescent="0.55000000000000004">
      <c r="B295" s="38" t="s">
        <v>418</v>
      </c>
      <c r="C295" s="131">
        <v>1.1270265436584284</v>
      </c>
    </row>
    <row r="296" spans="1:3" x14ac:dyDescent="0.55000000000000004">
      <c r="B296" s="38" t="s">
        <v>363</v>
      </c>
      <c r="C296" s="131">
        <v>1.0697268476654764E-2</v>
      </c>
    </row>
    <row r="297" spans="1:3" x14ac:dyDescent="0.55000000000000004">
      <c r="B297" s="38" t="s">
        <v>364</v>
      </c>
      <c r="C297" s="132">
        <v>536.02824624580956</v>
      </c>
    </row>
    <row r="298" spans="1:3" x14ac:dyDescent="0.55000000000000004">
      <c r="B298" s="38" t="s">
        <v>319</v>
      </c>
      <c r="C298" s="138">
        <f>C287*Fuel_Specs!$B$19/Fuel_Specs!$B$22+C288*Fuel_Specs!$B$20/Fuel_Specs!$B$22+C297</f>
        <v>536.5929312439963</v>
      </c>
    </row>
    <row r="299" spans="1:3" x14ac:dyDescent="0.55000000000000004">
      <c r="B299" s="42" t="s">
        <v>321</v>
      </c>
      <c r="C299" s="139">
        <f>C298+C295*CH4_GWP_20yr+C296*N2O_GWP_20yr</f>
        <v>632.49297538994335</v>
      </c>
    </row>
    <row r="301" spans="1:3" x14ac:dyDescent="0.55000000000000004">
      <c r="B301" t="s">
        <v>419</v>
      </c>
      <c r="C301" s="5">
        <f>C285+C286</f>
        <v>4589.3895271140818</v>
      </c>
    </row>
    <row r="304" spans="1:3" ht="15.75" customHeight="1" x14ac:dyDescent="0.55000000000000004">
      <c r="A304" s="35" t="s">
        <v>420</v>
      </c>
      <c r="B304" s="35"/>
      <c r="C304" s="35"/>
    </row>
    <row r="306" spans="1:11" x14ac:dyDescent="0.55000000000000004">
      <c r="C306" s="14" t="s">
        <v>262</v>
      </c>
      <c r="D306" s="14" t="s">
        <v>263</v>
      </c>
      <c r="E306" s="14" t="s">
        <v>100</v>
      </c>
      <c r="F306" s="14" t="s">
        <v>264</v>
      </c>
      <c r="G306" s="14" t="s">
        <v>265</v>
      </c>
      <c r="H306" s="184" t="s">
        <v>421</v>
      </c>
      <c r="I306" s="184" t="s">
        <v>422</v>
      </c>
      <c r="J306" s="184" t="s">
        <v>423</v>
      </c>
      <c r="K306" s="184" t="s">
        <v>424</v>
      </c>
    </row>
    <row r="307" spans="1:11" x14ac:dyDescent="0.55000000000000004">
      <c r="B307" s="179" t="s">
        <v>425</v>
      </c>
      <c r="C307" s="565" t="s">
        <v>426</v>
      </c>
      <c r="D307" s="566"/>
      <c r="E307" s="566"/>
      <c r="F307" s="567"/>
      <c r="G307" s="565" t="s">
        <v>427</v>
      </c>
      <c r="H307" s="566"/>
      <c r="I307" s="566"/>
      <c r="J307" s="566"/>
      <c r="K307" s="567"/>
    </row>
    <row r="308" spans="1:11" x14ac:dyDescent="0.55000000000000004">
      <c r="A308" s="13">
        <v>110</v>
      </c>
      <c r="B308" s="38" t="s">
        <v>428</v>
      </c>
      <c r="C308" s="185" t="s">
        <v>429</v>
      </c>
      <c r="D308" s="185" t="s">
        <v>430</v>
      </c>
      <c r="E308" s="185" t="s">
        <v>431</v>
      </c>
      <c r="F308" s="185" t="s">
        <v>432</v>
      </c>
      <c r="G308" s="185" t="s">
        <v>433</v>
      </c>
      <c r="H308" s="185" t="s">
        <v>429</v>
      </c>
      <c r="I308" s="185" t="s">
        <v>430</v>
      </c>
      <c r="J308" s="185" t="s">
        <v>432</v>
      </c>
      <c r="K308" s="185" t="s">
        <v>433</v>
      </c>
    </row>
    <row r="309" spans="1:11" x14ac:dyDescent="0.55000000000000004">
      <c r="A309" s="13">
        <v>112</v>
      </c>
      <c r="B309" s="42" t="s">
        <v>434</v>
      </c>
      <c r="C309" s="186">
        <v>6666.4259630103825</v>
      </c>
      <c r="D309" s="186">
        <v>750</v>
      </c>
      <c r="E309" s="186">
        <v>520.83268090934303</v>
      </c>
      <c r="F309" s="186">
        <v>797</v>
      </c>
      <c r="G309" s="186">
        <v>30</v>
      </c>
      <c r="H309" s="187">
        <v>5000</v>
      </c>
      <c r="I309" s="187">
        <v>520</v>
      </c>
      <c r="J309" s="187">
        <v>800</v>
      </c>
      <c r="K309" s="187">
        <v>30</v>
      </c>
    </row>
    <row r="310" spans="1:11" x14ac:dyDescent="0.55000000000000004">
      <c r="A310" s="13"/>
      <c r="B310" s="38" t="s">
        <v>435</v>
      </c>
      <c r="C310" s="185"/>
      <c r="D310" s="185"/>
      <c r="E310" s="185"/>
      <c r="F310" s="185"/>
      <c r="G310" s="185"/>
      <c r="H310" s="185"/>
      <c r="I310" s="185"/>
      <c r="J310" s="185"/>
      <c r="K310" s="185"/>
    </row>
    <row r="311" spans="1:11" x14ac:dyDescent="0.55000000000000004">
      <c r="A311" s="13">
        <v>138</v>
      </c>
      <c r="B311" s="38" t="s">
        <v>436</v>
      </c>
      <c r="C311" s="188">
        <v>1.0968094099668511</v>
      </c>
      <c r="D311" s="188">
        <v>0.20966378131027785</v>
      </c>
      <c r="E311" s="188">
        <v>8.3574724270156081E-2</v>
      </c>
      <c r="F311" s="188">
        <v>0.21499405750123096</v>
      </c>
      <c r="G311" s="188">
        <v>1.4307894332483887E-2</v>
      </c>
      <c r="H311" s="188">
        <v>1.0522071312856989</v>
      </c>
      <c r="I311" s="188">
        <v>0.12976075424979983</v>
      </c>
      <c r="J311" s="188">
        <v>0.18941560272586166</v>
      </c>
      <c r="K311" s="188">
        <v>2.0930620447514751E-2</v>
      </c>
    </row>
    <row r="312" spans="1:11" x14ac:dyDescent="0.55000000000000004">
      <c r="A312" s="13">
        <v>139</v>
      </c>
      <c r="B312" s="38" t="s">
        <v>437</v>
      </c>
      <c r="C312" s="188">
        <v>2.4523235127645249</v>
      </c>
      <c r="D312" s="188">
        <v>1.834202765721801</v>
      </c>
      <c r="E312" s="188">
        <v>0.29725111902633705</v>
      </c>
      <c r="F312" s="188">
        <v>0.36578278638369327</v>
      </c>
      <c r="G312" s="188">
        <v>0.2018599229033379</v>
      </c>
      <c r="H312" s="188">
        <v>1.8047138458559353</v>
      </c>
      <c r="I312" s="188">
        <v>0.8853181177821795</v>
      </c>
      <c r="J312" s="188">
        <v>0.32226456747166449</v>
      </c>
      <c r="K312" s="188">
        <v>0.29529526369663051</v>
      </c>
    </row>
    <row r="313" spans="1:11" x14ac:dyDescent="0.55000000000000004">
      <c r="A313" s="13">
        <v>140</v>
      </c>
      <c r="B313" s="38" t="s">
        <v>438</v>
      </c>
      <c r="C313" s="188">
        <v>26.479471373455514</v>
      </c>
      <c r="D313" s="188">
        <v>6.3297463839400976</v>
      </c>
      <c r="E313" s="188">
        <v>0.52649697503886361</v>
      </c>
      <c r="F313" s="188">
        <v>2.578442884586837</v>
      </c>
      <c r="G313" s="188">
        <v>0.13746384609406564</v>
      </c>
      <c r="H313" s="188">
        <v>25.028864482226385</v>
      </c>
      <c r="I313" s="188">
        <v>3.9445781988711799</v>
      </c>
      <c r="J313" s="188">
        <v>2.2716781977819496</v>
      </c>
      <c r="K313" s="188">
        <v>0.20109203499764597</v>
      </c>
    </row>
    <row r="314" spans="1:11" x14ac:dyDescent="0.55000000000000004">
      <c r="A314" s="13">
        <v>141</v>
      </c>
      <c r="B314" s="38" t="s">
        <v>439</v>
      </c>
      <c r="C314" s="188">
        <v>2.3302853478362016</v>
      </c>
      <c r="D314" s="188">
        <v>0.212452672250418</v>
      </c>
      <c r="E314" s="188">
        <v>7.6185623952247747E-2</v>
      </c>
      <c r="F314" s="188">
        <v>4.8358819658784795E-2</v>
      </c>
      <c r="G314" s="188">
        <v>7.6734195499015816E-3</v>
      </c>
      <c r="H314" s="188">
        <v>1.1293869293302021</v>
      </c>
      <c r="I314" s="188">
        <v>7.6341824888144241E-2</v>
      </c>
      <c r="J314" s="188">
        <v>4.2605433281464176E-2</v>
      </c>
      <c r="K314" s="188">
        <v>1.1225231917521943E-2</v>
      </c>
    </row>
    <row r="315" spans="1:11" x14ac:dyDescent="0.55000000000000004">
      <c r="A315" s="13">
        <v>142</v>
      </c>
      <c r="B315" s="38" t="s">
        <v>440</v>
      </c>
      <c r="C315" s="188">
        <v>2.1434399853148842</v>
      </c>
      <c r="D315" s="188">
        <v>0.20460435496009508</v>
      </c>
      <c r="E315" s="188">
        <v>4.3033317985513485E-2</v>
      </c>
      <c r="F315" s="188">
        <v>4.5951702342789891E-2</v>
      </c>
      <c r="G315" s="188">
        <v>2.1848992226278412E-3</v>
      </c>
      <c r="H315" s="188">
        <v>1.0390721206588425</v>
      </c>
      <c r="I315" s="188">
        <v>7.3477831260228818E-2</v>
      </c>
      <c r="J315" s="188">
        <v>4.0484697561880757E-2</v>
      </c>
      <c r="K315" s="188">
        <v>3.1962282696670068E-3</v>
      </c>
    </row>
    <row r="316" spans="1:11" x14ac:dyDescent="0.55000000000000004">
      <c r="A316" s="13">
        <v>143</v>
      </c>
      <c r="B316" s="38" t="s">
        <v>441</v>
      </c>
      <c r="C316" s="188">
        <v>18.510947669492793</v>
      </c>
      <c r="D316" s="188">
        <v>4.8336647096506924E-2</v>
      </c>
      <c r="E316" s="188">
        <v>0.44067587257879481</v>
      </c>
      <c r="F316" s="188">
        <v>3.1441363264290263E-2</v>
      </c>
      <c r="G316" s="188">
        <v>5.3192555738719371E-3</v>
      </c>
      <c r="H316" s="188">
        <v>8.0727508471483329</v>
      </c>
      <c r="I316" s="188">
        <v>0.81598074631626205</v>
      </c>
      <c r="J316" s="188">
        <v>2.7700694811968025E-2</v>
      </c>
      <c r="K316" s="188">
        <v>7.7813909505377683E-3</v>
      </c>
    </row>
    <row r="317" spans="1:11" x14ac:dyDescent="0.55000000000000004">
      <c r="A317" s="13">
        <v>144</v>
      </c>
      <c r="B317" s="38" t="s">
        <v>442</v>
      </c>
      <c r="C317" s="188">
        <v>0.32147099244462263</v>
      </c>
      <c r="D317" s="188">
        <v>3.0714939666886897E-2</v>
      </c>
      <c r="E317" s="188">
        <v>2.2936827040278122E-3</v>
      </c>
      <c r="F317" s="188">
        <v>4.3039661999925054E-3</v>
      </c>
      <c r="G317" s="188">
        <v>2.0425884569240038E-4</v>
      </c>
      <c r="H317" s="188">
        <v>0.15571225235121816</v>
      </c>
      <c r="I317" s="188">
        <v>1.0956688306318111E-2</v>
      </c>
      <c r="J317" s="188">
        <v>3.7919110944666413E-3</v>
      </c>
      <c r="K317" s="188">
        <v>2.9880458108561648E-4</v>
      </c>
    </row>
    <row r="318" spans="1:11" x14ac:dyDescent="0.55000000000000004">
      <c r="A318" s="13">
        <v>145</v>
      </c>
      <c r="B318" s="38" t="s">
        <v>443</v>
      </c>
      <c r="C318" s="188">
        <v>0.83444790838638205</v>
      </c>
      <c r="D318" s="188">
        <v>7.8594641903098242E-2</v>
      </c>
      <c r="E318" s="188">
        <v>1.1997996343165333E-2</v>
      </c>
      <c r="F318" s="188">
        <v>3.6713780363687006E-2</v>
      </c>
      <c r="G318" s="188">
        <v>3.6455934137032548E-4</v>
      </c>
      <c r="H318" s="188">
        <v>0.40529330248684997</v>
      </c>
      <c r="I318" s="188">
        <v>2.8629106920317431E-2</v>
      </c>
      <c r="J318" s="188">
        <v>3.2345837446659954E-2</v>
      </c>
      <c r="K318" s="188">
        <v>5.3330371524302252E-4</v>
      </c>
    </row>
    <row r="319" spans="1:11" x14ac:dyDescent="0.55000000000000004">
      <c r="A319" s="13">
        <v>146</v>
      </c>
      <c r="B319" s="38" t="s">
        <v>444</v>
      </c>
      <c r="C319" s="188">
        <v>1.3405758202654272</v>
      </c>
      <c r="D319" s="188">
        <v>1.005050549790186</v>
      </c>
      <c r="E319" s="188">
        <v>1.4521474715573153</v>
      </c>
      <c r="F319" s="188">
        <v>0.68969758446407736</v>
      </c>
      <c r="G319" s="188">
        <v>0.11072535556408429</v>
      </c>
      <c r="H319" s="188">
        <v>2.7348779191984467</v>
      </c>
      <c r="I319" s="188">
        <v>0.99126025031500087</v>
      </c>
      <c r="J319" s="188">
        <v>0.60764230034165523</v>
      </c>
      <c r="K319" s="188">
        <v>0.16197704130134086</v>
      </c>
    </row>
    <row r="320" spans="1:11" x14ac:dyDescent="0.55000000000000004">
      <c r="A320" s="13">
        <v>147</v>
      </c>
      <c r="B320" s="38" t="s">
        <v>445</v>
      </c>
      <c r="C320" s="188">
        <v>2.7611903855985418E-2</v>
      </c>
      <c r="D320" s="188">
        <v>2.0359569150329999E-2</v>
      </c>
      <c r="E320" s="188">
        <v>1.3783181468396659E-2</v>
      </c>
      <c r="F320" s="188">
        <v>1.4026541173419114E-2</v>
      </c>
      <c r="G320" s="188">
        <v>3.5989016528004738E-4</v>
      </c>
      <c r="H320" s="188">
        <v>2.6034555647041352E-2</v>
      </c>
      <c r="I320" s="188">
        <v>1.2059199905583181E-2</v>
      </c>
      <c r="J320" s="188">
        <v>1.2357763658221504E-2</v>
      </c>
      <c r="K320" s="188">
        <v>5.2647330747810468E-4</v>
      </c>
    </row>
    <row r="321" spans="1:11" x14ac:dyDescent="0.55000000000000004">
      <c r="A321" s="13">
        <v>148</v>
      </c>
      <c r="B321" s="42" t="s">
        <v>446</v>
      </c>
      <c r="C321" s="189">
        <v>1202.7548133747293</v>
      </c>
      <c r="D321" s="189">
        <v>825.68608290307247</v>
      </c>
      <c r="E321" s="189">
        <v>690.65991998948346</v>
      </c>
      <c r="F321" s="189">
        <v>538.03720932919794</v>
      </c>
      <c r="G321" s="189">
        <v>90.851105400447366</v>
      </c>
      <c r="H321" s="189">
        <v>978.15396914633607</v>
      </c>
      <c r="I321" s="189">
        <v>460.38083538942715</v>
      </c>
      <c r="J321" s="189">
        <v>474.02539157830967</v>
      </c>
      <c r="K321" s="189">
        <v>132.9035538134145</v>
      </c>
    </row>
    <row r="322" spans="1:11" x14ac:dyDescent="0.55000000000000004">
      <c r="B322" s="38" t="s">
        <v>319</v>
      </c>
      <c r="C322" s="190">
        <f>C311*Fuel_Specs!$B$19/Fuel_Specs!$B$22+C312*Fuel_Specs!$B$20/Fuel_Specs!$B$22+C321</f>
        <v>1210.0268539368037</v>
      </c>
      <c r="D322" s="190">
        <f>D311*Fuel_Specs!$B$19/Fuel_Specs!$B$22+D312*Fuel_Specs!$B$20/Fuel_Specs!$B$22+D321</f>
        <v>829.22185365333803</v>
      </c>
      <c r="E322" s="190">
        <f>E311*Fuel_Specs!$B$19/Fuel_Specs!$B$22+E312*Fuel_Specs!$B$20/Fuel_Specs!$B$22+E321</f>
        <v>691.38750344811922</v>
      </c>
      <c r="F322" s="190">
        <f>F311*Fuel_Specs!$B$19/Fuel_Specs!$B$22+F312*Fuel_Specs!$B$20/Fuel_Specs!$B$22+F321</f>
        <v>539.2820756632035</v>
      </c>
      <c r="G322" s="190">
        <f>G311*Fuel_Specs!$B$19/Fuel_Specs!$B$22+G312*Fuel_Specs!$B$20/Fuel_Specs!$B$22+G321</f>
        <v>91.21290678806028</v>
      </c>
      <c r="H322" s="190">
        <f>H311*Fuel_Specs!$B$19/Fuel_Specs!$B$22+H312*Fuel_Specs!$B$20/Fuel_Specs!$B$22+H321</f>
        <v>984.2693269394739</v>
      </c>
      <c r="I322" s="190">
        <f>I311*Fuel_Specs!$B$19/Fuel_Specs!$B$22+I312*Fuel_Specs!$B$20/Fuel_Specs!$B$22+I321</f>
        <v>462.17647059192529</v>
      </c>
      <c r="J322" s="190">
        <f>J311*Fuel_Specs!$B$19/Fuel_Specs!$B$22+J312*Fuel_Specs!$B$20/Fuel_Specs!$B$22+J321</f>
        <v>475.122152622356</v>
      </c>
      <c r="K322" s="190">
        <f>K311*Fuel_Specs!$B$19/Fuel_Specs!$B$22+K312*Fuel_Specs!$B$20/Fuel_Specs!$B$22+K321</f>
        <v>133.43282299485634</v>
      </c>
    </row>
    <row r="323" spans="1:11" x14ac:dyDescent="0.55000000000000004">
      <c r="B323" s="42" t="s">
        <v>321</v>
      </c>
      <c r="C323" s="191">
        <f t="shared" ref="C323:K323" si="28">C322+C319*CH4_GWP_20yr+C320*N2O_GWP_20yr</f>
        <v>1328.1624088613853</v>
      </c>
      <c r="D323" s="191">
        <f t="shared" si="28"/>
        <v>917.69668638906842</v>
      </c>
      <c r="E323" s="191">
        <f t="shared" si="28"/>
        <v>814.95247839246997</v>
      </c>
      <c r="F323" s="191">
        <f t="shared" si="28"/>
        <v>600.01137212183323</v>
      </c>
      <c r="G323" s="191">
        <f t="shared" si="28"/>
        <v>100.44599863721869</v>
      </c>
      <c r="H323" s="191">
        <f t="shared" si="28"/>
        <v>1217.0041889649879</v>
      </c>
      <c r="I323" s="191">
        <f t="shared" si="28"/>
        <v>547.24760281713714</v>
      </c>
      <c r="J323" s="191">
        <f t="shared" si="28"/>
        <v>528.62631187923705</v>
      </c>
      <c r="K323" s="191">
        <f t="shared" si="28"/>
        <v>146.93965611515847</v>
      </c>
    </row>
    <row r="324" spans="1:11" x14ac:dyDescent="0.55000000000000004">
      <c r="B324" s="42" t="s">
        <v>447</v>
      </c>
      <c r="C324" s="242">
        <f t="shared" ref="C324:K324" si="29">C323/C309</f>
        <v>0.19923155469375708</v>
      </c>
      <c r="D324" s="192">
        <f t="shared" si="29"/>
        <v>1.2235955818520912</v>
      </c>
      <c r="E324" s="242">
        <f t="shared" si="29"/>
        <v>1.5647107185547788</v>
      </c>
      <c r="F324" s="192">
        <f t="shared" si="29"/>
        <v>0.75283735523442064</v>
      </c>
      <c r="G324" s="192">
        <f t="shared" si="29"/>
        <v>3.3481999545739565</v>
      </c>
      <c r="H324" s="192">
        <f t="shared" si="29"/>
        <v>0.24340083779299757</v>
      </c>
      <c r="I324" s="192">
        <f t="shared" si="29"/>
        <v>1.0523992361868022</v>
      </c>
      <c r="J324" s="192">
        <f t="shared" si="29"/>
        <v>0.66078288984904632</v>
      </c>
      <c r="K324" s="192">
        <f t="shared" si="29"/>
        <v>4.8979885371719494</v>
      </c>
    </row>
    <row r="327" spans="1:11" ht="15.75" customHeight="1" x14ac:dyDescent="0.55000000000000004">
      <c r="A327" s="35" t="s">
        <v>448</v>
      </c>
      <c r="B327" s="35"/>
      <c r="C327" s="35"/>
      <c r="D327" s="35"/>
      <c r="E327" s="35"/>
      <c r="F327" s="35"/>
      <c r="G327" s="35"/>
      <c r="H327" s="35"/>
      <c r="I327" s="35"/>
      <c r="J327" s="35"/>
      <c r="K327" s="35"/>
    </row>
    <row r="329" spans="1:11" x14ac:dyDescent="0.55000000000000004">
      <c r="B329" t="s">
        <v>37</v>
      </c>
      <c r="C329" t="s">
        <v>449</v>
      </c>
      <c r="D329">
        <v>7491</v>
      </c>
      <c r="E329" t="s">
        <v>450</v>
      </c>
    </row>
    <row r="330" spans="1:11" x14ac:dyDescent="0.55000000000000004">
      <c r="D330" s="183">
        <f>D329*1.15078</f>
        <v>8620.4929799999991</v>
      </c>
      <c r="E330" t="s">
        <v>451</v>
      </c>
      <c r="F330" s="193">
        <f>D330*C324</f>
        <v>1717.4742186320188</v>
      </c>
      <c r="G330" t="s">
        <v>155</v>
      </c>
      <c r="H330" s="196">
        <f>F330/mmBTU2MJ</f>
        <v>1.6278514721585771</v>
      </c>
      <c r="I330" t="s">
        <v>157</v>
      </c>
    </row>
    <row r="331" spans="1:11" x14ac:dyDescent="0.55000000000000004">
      <c r="B331" t="s">
        <v>36</v>
      </c>
      <c r="C331" t="s">
        <v>452</v>
      </c>
      <c r="D331">
        <v>10557</v>
      </c>
      <c r="E331" t="s">
        <v>450</v>
      </c>
    </row>
    <row r="332" spans="1:11" x14ac:dyDescent="0.55000000000000004">
      <c r="D332" s="183">
        <f>D331*1.15078</f>
        <v>12148.784459999999</v>
      </c>
      <c r="E332" t="s">
        <v>451</v>
      </c>
      <c r="F332" s="193">
        <f>D332*C324</f>
        <v>2420.4212156051558</v>
      </c>
      <c r="G332" t="s">
        <v>155</v>
      </c>
      <c r="H332" s="196">
        <f>F332/mmBTU2MJ</f>
        <v>2.2941166722170734</v>
      </c>
      <c r="I332" t="s">
        <v>157</v>
      </c>
    </row>
    <row r="333" spans="1:11" x14ac:dyDescent="0.55000000000000004">
      <c r="B333" t="s">
        <v>130</v>
      </c>
      <c r="C333" t="s">
        <v>453</v>
      </c>
      <c r="D333">
        <v>4142</v>
      </c>
      <c r="E333" t="s">
        <v>450</v>
      </c>
    </row>
    <row r="334" spans="1:11" x14ac:dyDescent="0.55000000000000004">
      <c r="D334" s="183">
        <f>D333*1.15078</f>
        <v>4766.5307599999996</v>
      </c>
      <c r="E334" t="s">
        <v>451</v>
      </c>
      <c r="F334" s="193">
        <f>D334*H324</f>
        <v>1160.1775803500934</v>
      </c>
      <c r="G334" t="s">
        <v>155</v>
      </c>
      <c r="H334" s="196">
        <f>F334/mmBTU2MJ</f>
        <v>1.0996361759902031</v>
      </c>
      <c r="I334" t="s">
        <v>157</v>
      </c>
    </row>
    <row r="335" spans="1:11" x14ac:dyDescent="0.55000000000000004">
      <c r="B335" t="s">
        <v>454</v>
      </c>
      <c r="C335" t="s">
        <v>455</v>
      </c>
      <c r="D335">
        <v>2455</v>
      </c>
      <c r="E335" t="s">
        <v>450</v>
      </c>
    </row>
    <row r="336" spans="1:11" x14ac:dyDescent="0.55000000000000004">
      <c r="D336" s="183">
        <f>D335*1.15078</f>
        <v>2825.1648999999998</v>
      </c>
      <c r="E336" t="s">
        <v>451</v>
      </c>
      <c r="F336" s="193">
        <f>D336*H324</f>
        <v>687.64750356337015</v>
      </c>
      <c r="G336" t="s">
        <v>155</v>
      </c>
      <c r="H336" s="196">
        <f>F338/mmBTU2MJ</f>
        <v>1.2900108295990138</v>
      </c>
      <c r="I336" t="s">
        <v>157</v>
      </c>
    </row>
    <row r="337" spans="3:9" x14ac:dyDescent="0.55000000000000004">
      <c r="D337" s="183"/>
    </row>
    <row r="338" spans="3:9" x14ac:dyDescent="0.55000000000000004">
      <c r="C338" t="s">
        <v>456</v>
      </c>
      <c r="D338" s="183">
        <v>45.672264172207804</v>
      </c>
      <c r="E338" t="s">
        <v>457</v>
      </c>
      <c r="F338" s="193">
        <f>D338*CH4_GWP_100yr</f>
        <v>1361.0334723317926</v>
      </c>
      <c r="G338" t="s">
        <v>155</v>
      </c>
      <c r="H338" s="196">
        <f>F338/mmBTU2MJ</f>
        <v>1.2900108295990138</v>
      </c>
      <c r="I338" t="s">
        <v>157</v>
      </c>
    </row>
  </sheetData>
  <mergeCells count="65">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72:P72"/>
    <mergeCell ref="R72:S72"/>
    <mergeCell ref="C73:D73"/>
    <mergeCell ref="E73:F73"/>
    <mergeCell ref="G73:H73"/>
    <mergeCell ref="I73:J73"/>
    <mergeCell ref="K73:L73"/>
    <mergeCell ref="M73:N73"/>
    <mergeCell ref="O73:P73"/>
    <mergeCell ref="R73:S73"/>
    <mergeCell ref="C72:D72"/>
    <mergeCell ref="E72:F72"/>
    <mergeCell ref="G72:H72"/>
    <mergeCell ref="I72:J72"/>
    <mergeCell ref="K72:L72"/>
    <mergeCell ref="M72:N72"/>
    <mergeCell ref="D98:D99"/>
    <mergeCell ref="E98:E99"/>
    <mergeCell ref="C128:C129"/>
    <mergeCell ref="F128:F129"/>
    <mergeCell ref="G128:G129"/>
    <mergeCell ref="I128:I129"/>
    <mergeCell ref="J128:J129"/>
    <mergeCell ref="K128:K129"/>
    <mergeCell ref="L128:L129"/>
    <mergeCell ref="C153:C154"/>
    <mergeCell ref="F153:F154"/>
    <mergeCell ref="G153:G154"/>
    <mergeCell ref="H153:H154"/>
    <mergeCell ref="I153:I154"/>
    <mergeCell ref="J153:J154"/>
    <mergeCell ref="H128:H129"/>
    <mergeCell ref="N183:N184"/>
    <mergeCell ref="C239:D239"/>
    <mergeCell ref="C264:D264"/>
    <mergeCell ref="E264:F264"/>
    <mergeCell ref="K153:K154"/>
    <mergeCell ref="L153:L154"/>
    <mergeCell ref="M153:M154"/>
    <mergeCell ref="N153:N154"/>
    <mergeCell ref="C183:C184"/>
    <mergeCell ref="F183:F184"/>
    <mergeCell ref="G183:G184"/>
    <mergeCell ref="H183:H184"/>
    <mergeCell ref="I183:I184"/>
    <mergeCell ref="J183:J184"/>
    <mergeCell ref="C307:F307"/>
    <mergeCell ref="G307:K307"/>
    <mergeCell ref="K183:K184"/>
    <mergeCell ref="L183:L184"/>
    <mergeCell ref="M183:M184"/>
  </mergeCells>
  <pageMargins left="0.7" right="0.7" top="0.75" bottom="0.75" header="0.3" footer="0.3"/>
  <pageSetup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3CDAB-CA04-4C82-9C72-9F592D8D38A6}">
  <sheetPr>
    <tabColor theme="4" tint="0.59999389629810485"/>
  </sheetPr>
  <dimension ref="A1:S167"/>
  <sheetViews>
    <sheetView topLeftCell="F28" zoomScale="94" zoomScaleNormal="94" workbookViewId="0">
      <selection activeCell="P60" sqref="P60"/>
    </sheetView>
  </sheetViews>
  <sheetFormatPr defaultRowHeight="14.4" x14ac:dyDescent="0.55000000000000004"/>
  <cols>
    <col min="1" max="1" width="39.26171875" customWidth="1"/>
    <col min="2" max="2" width="32.9453125" customWidth="1"/>
    <col min="3" max="3" width="21.68359375" customWidth="1"/>
    <col min="4" max="4" width="11.68359375" customWidth="1"/>
    <col min="6" max="6" width="17.89453125" customWidth="1"/>
    <col min="7" max="7" width="17.5234375" customWidth="1"/>
    <col min="8" max="8" width="10.47265625" style="256" customWidth="1"/>
    <col min="9" max="9" width="23.15625" bestFit="1" customWidth="1"/>
    <col min="10" max="10" width="15.3671875" bestFit="1" customWidth="1"/>
    <col min="11" max="11" width="26.41796875" bestFit="1" customWidth="1"/>
    <col min="12" max="12" width="11.68359375" bestFit="1" customWidth="1"/>
    <col min="13" max="13" width="16.1015625" bestFit="1" customWidth="1"/>
    <col min="14" max="14" width="29.3125" bestFit="1" customWidth="1"/>
    <col min="15" max="15" width="30.20703125" bestFit="1" customWidth="1"/>
    <col min="16" max="16" width="18.3671875" bestFit="1" customWidth="1"/>
    <col min="17" max="17" width="14.62890625" bestFit="1" customWidth="1"/>
    <col min="18" max="18" width="24.15625" bestFit="1" customWidth="1"/>
    <col min="19" max="19" width="31.89453125" bestFit="1" customWidth="1"/>
    <col min="20" max="21" width="32.5234375" bestFit="1" customWidth="1"/>
    <col min="22" max="22" width="43.578125" bestFit="1" customWidth="1"/>
    <col min="23" max="23" width="37.83984375" bestFit="1" customWidth="1"/>
    <col min="24" max="24" width="43.578125" bestFit="1" customWidth="1"/>
    <col min="25" max="25" width="37.83984375" bestFit="1" customWidth="1"/>
    <col min="26" max="26" width="43.578125" bestFit="1" customWidth="1"/>
    <col min="27" max="27" width="37.83984375" bestFit="1" customWidth="1"/>
    <col min="28" max="28" width="46" bestFit="1" customWidth="1"/>
    <col min="29" max="29" width="37.83984375" bestFit="1" customWidth="1"/>
    <col min="30" max="30" width="35.41796875" bestFit="1" customWidth="1"/>
    <col min="31" max="31" width="46" bestFit="1" customWidth="1"/>
  </cols>
  <sheetData>
    <row r="1" spans="1:19" ht="86.4" x14ac:dyDescent="0.55000000000000004">
      <c r="A1" s="350" t="s">
        <v>26</v>
      </c>
      <c r="B1" s="350" t="s">
        <v>89</v>
      </c>
      <c r="C1" s="350" t="s">
        <v>484</v>
      </c>
      <c r="D1" s="350" t="s">
        <v>85</v>
      </c>
      <c r="E1" s="350" t="s">
        <v>40</v>
      </c>
      <c r="F1" s="350" t="s">
        <v>490</v>
      </c>
      <c r="G1" s="350" t="s">
        <v>504</v>
      </c>
      <c r="H1" s="351"/>
      <c r="I1" s="323" t="s">
        <v>39</v>
      </c>
      <c r="J1" s="324" t="s">
        <v>516</v>
      </c>
      <c r="K1" s="324" t="s">
        <v>483</v>
      </c>
      <c r="L1" s="325" t="s">
        <v>489</v>
      </c>
    </row>
    <row r="2" spans="1:19" x14ac:dyDescent="0.55000000000000004">
      <c r="A2" s="179" t="s">
        <v>34</v>
      </c>
      <c r="B2" s="179" t="s">
        <v>90</v>
      </c>
      <c r="C2" s="495">
        <v>16.705982568936786</v>
      </c>
      <c r="D2" s="316" t="s">
        <v>464</v>
      </c>
      <c r="E2" s="316">
        <v>20</v>
      </c>
      <c r="F2" s="494">
        <f t="shared" ref="F2:F33" si="0">IF(D2="LNG",(C2*L$2),IF(D2="Crude",(C2*L$3),"X"))</f>
        <v>38.390437009230602</v>
      </c>
      <c r="G2" s="494">
        <f t="shared" ref="G2:G33" si="1">(F2*1000)*kWh2mmBTU</f>
        <v>130.99360875846543</v>
      </c>
      <c r="I2" s="317" t="s">
        <v>464</v>
      </c>
      <c r="J2" s="321">
        <v>0.46</v>
      </c>
      <c r="K2" s="356">
        <v>5.3999999999999999E-2</v>
      </c>
      <c r="L2" s="318">
        <f>1/J2/(1-K2)</f>
        <v>2.298005331372369</v>
      </c>
      <c r="N2" s="318" t="s">
        <v>518</v>
      </c>
    </row>
    <row r="3" spans="1:19" x14ac:dyDescent="0.55000000000000004">
      <c r="A3" s="179" t="s">
        <v>72</v>
      </c>
      <c r="B3" s="179" t="s">
        <v>90</v>
      </c>
      <c r="C3" s="495">
        <v>15.170772091241597</v>
      </c>
      <c r="D3" s="316" t="s">
        <v>464</v>
      </c>
      <c r="E3" s="316">
        <v>20</v>
      </c>
      <c r="F3" s="494">
        <f t="shared" si="0"/>
        <v>34.862515146708333</v>
      </c>
      <c r="G3" s="494">
        <f t="shared" si="1"/>
        <v>118.95583966303775</v>
      </c>
      <c r="I3" s="317" t="s">
        <v>485</v>
      </c>
      <c r="J3" s="321">
        <v>0.32300000000000001</v>
      </c>
      <c r="K3" s="356">
        <v>5.3999999999999999E-2</v>
      </c>
      <c r="L3" s="318">
        <f>1/J3/(1-K3)</f>
        <v>3.2727010911185439</v>
      </c>
      <c r="N3" s="356" t="s">
        <v>517</v>
      </c>
    </row>
    <row r="4" spans="1:19" x14ac:dyDescent="0.55000000000000004">
      <c r="A4" s="179" t="s">
        <v>74</v>
      </c>
      <c r="B4" s="179" t="s">
        <v>90</v>
      </c>
      <c r="C4" s="495">
        <v>12.225708240854447</v>
      </c>
      <c r="D4" s="316" t="s">
        <v>464</v>
      </c>
      <c r="E4" s="316">
        <v>20</v>
      </c>
      <c r="F4" s="494">
        <f t="shared" si="0"/>
        <v>28.094742717286625</v>
      </c>
      <c r="G4" s="494">
        <f t="shared" si="1"/>
        <v>95.863241535727099</v>
      </c>
      <c r="I4" s="317" t="s">
        <v>482</v>
      </c>
      <c r="J4" s="321">
        <v>0.45</v>
      </c>
      <c r="K4" s="356">
        <v>5.3999999999999999E-2</v>
      </c>
      <c r="L4" s="318">
        <f>1/J4/(1-K4)</f>
        <v>2.3490721165139772</v>
      </c>
    </row>
    <row r="5" spans="1:19" ht="14.7" thickBot="1" x14ac:dyDescent="0.6">
      <c r="A5" s="179" t="s">
        <v>75</v>
      </c>
      <c r="B5" s="179" t="s">
        <v>90</v>
      </c>
      <c r="C5" s="495">
        <v>26.117492105251266</v>
      </c>
      <c r="D5" s="316" t="s">
        <v>464</v>
      </c>
      <c r="E5" s="316">
        <v>20</v>
      </c>
      <c r="F5" s="494">
        <f t="shared" si="0"/>
        <v>60.018136099943163</v>
      </c>
      <c r="G5" s="494">
        <f t="shared" si="1"/>
        <v>204.79038143790717</v>
      </c>
      <c r="I5" s="319" t="s">
        <v>486</v>
      </c>
      <c r="J5" s="322">
        <v>0.38</v>
      </c>
      <c r="K5" s="357">
        <v>5.4000000000000006E-2</v>
      </c>
      <c r="L5" s="320">
        <f>1/J5/(1-K5)</f>
        <v>2.7817959274507627</v>
      </c>
    </row>
    <row r="6" spans="1:19" x14ac:dyDescent="0.55000000000000004">
      <c r="A6" s="179" t="s">
        <v>34</v>
      </c>
      <c r="B6" s="179" t="s">
        <v>90</v>
      </c>
      <c r="C6" s="495">
        <v>9.5439452881464373</v>
      </c>
      <c r="D6" s="316" t="s">
        <v>464</v>
      </c>
      <c r="E6" s="316">
        <v>100</v>
      </c>
      <c r="F6" s="494">
        <f t="shared" si="0"/>
        <v>21.932037154486714</v>
      </c>
      <c r="G6" s="494">
        <f t="shared" si="1"/>
        <v>74.835217259969866</v>
      </c>
      <c r="K6" s="315"/>
    </row>
    <row r="7" spans="1:19" x14ac:dyDescent="0.55000000000000004">
      <c r="A7" s="179" t="s">
        <v>72</v>
      </c>
      <c r="B7" s="179" t="s">
        <v>90</v>
      </c>
      <c r="C7" s="495">
        <v>8.6126831432389643</v>
      </c>
      <c r="D7" s="316" t="s">
        <v>464</v>
      </c>
      <c r="E7" s="316">
        <v>100</v>
      </c>
      <c r="F7" s="494">
        <f>IF(D7="LNG",(C7*L$2),IF(D7="Crude",(C7*L$3),"X"))</f>
        <v>19.791991780584073</v>
      </c>
      <c r="G7" s="494">
        <f t="shared" si="1"/>
        <v>67.53307932476055</v>
      </c>
    </row>
    <row r="8" spans="1:19" x14ac:dyDescent="0.55000000000000004">
      <c r="A8" s="179" t="s">
        <v>74</v>
      </c>
      <c r="B8" s="179" t="s">
        <v>90</v>
      </c>
      <c r="C8" s="495">
        <v>6.2335200959985002</v>
      </c>
      <c r="D8" s="316" t="s">
        <v>464</v>
      </c>
      <c r="E8" s="316">
        <v>100</v>
      </c>
      <c r="F8" s="494">
        <f t="shared" si="0"/>
        <v>14.324662413821354</v>
      </c>
      <c r="G8" s="494">
        <f t="shared" si="1"/>
        <v>48.87777712408009</v>
      </c>
    </row>
    <row r="9" spans="1:19" x14ac:dyDescent="0.55000000000000004">
      <c r="A9" s="179" t="s">
        <v>75</v>
      </c>
      <c r="B9" s="179" t="s">
        <v>90</v>
      </c>
      <c r="C9" s="495">
        <v>12.943188085779772</v>
      </c>
      <c r="D9" s="316" t="s">
        <v>464</v>
      </c>
      <c r="E9" s="316">
        <v>100</v>
      </c>
      <c r="F9" s="494">
        <f t="shared" si="0"/>
        <v>29.743515226077243</v>
      </c>
      <c r="G9" s="494">
        <f t="shared" si="1"/>
        <v>101.48908687049891</v>
      </c>
    </row>
    <row r="10" spans="1:19" x14ac:dyDescent="0.55000000000000004">
      <c r="A10" s="179" t="s">
        <v>34</v>
      </c>
      <c r="B10" s="179" t="s">
        <v>61</v>
      </c>
      <c r="C10" s="495">
        <v>9.375256687212163</v>
      </c>
      <c r="D10" s="316" t="s">
        <v>464</v>
      </c>
      <c r="E10" s="316">
        <v>20</v>
      </c>
      <c r="F10" s="494">
        <f t="shared" si="0"/>
        <v>21.544389850198005</v>
      </c>
      <c r="G10" s="494">
        <f t="shared" si="1"/>
        <v>73.512509750751875</v>
      </c>
    </row>
    <row r="11" spans="1:19" x14ac:dyDescent="0.55000000000000004">
      <c r="A11" s="179" t="s">
        <v>72</v>
      </c>
      <c r="B11" s="179" t="s">
        <v>61</v>
      </c>
      <c r="C11" s="495">
        <v>9.375256687212163</v>
      </c>
      <c r="D11" s="316" t="s">
        <v>464</v>
      </c>
      <c r="E11" s="316">
        <v>20</v>
      </c>
      <c r="F11" s="494">
        <f t="shared" si="0"/>
        <v>21.544389850198005</v>
      </c>
      <c r="G11" s="494">
        <f t="shared" si="1"/>
        <v>73.512509750751875</v>
      </c>
    </row>
    <row r="12" spans="1:19" x14ac:dyDescent="0.55000000000000004">
      <c r="A12" s="179" t="s">
        <v>74</v>
      </c>
      <c r="B12" s="179" t="s">
        <v>61</v>
      </c>
      <c r="C12" s="495">
        <v>9.375256687212163</v>
      </c>
      <c r="D12" s="316" t="s">
        <v>464</v>
      </c>
      <c r="E12" s="316">
        <v>20</v>
      </c>
      <c r="F12" s="494">
        <f t="shared" si="0"/>
        <v>21.544389850198005</v>
      </c>
      <c r="G12" s="494">
        <f t="shared" si="1"/>
        <v>73.512509750751875</v>
      </c>
      <c r="I12" s="259" t="s">
        <v>512</v>
      </c>
      <c r="J12" s="259" t="s">
        <v>92</v>
      </c>
    </row>
    <row r="13" spans="1:19" x14ac:dyDescent="0.55000000000000004">
      <c r="A13" s="179" t="s">
        <v>75</v>
      </c>
      <c r="B13" s="179" t="s">
        <v>61</v>
      </c>
      <c r="C13" s="495">
        <v>10.232548220469367</v>
      </c>
      <c r="D13" s="316" t="s">
        <v>464</v>
      </c>
      <c r="E13" s="316">
        <v>20</v>
      </c>
      <c r="F13" s="494">
        <f t="shared" si="0"/>
        <v>23.514450364163451</v>
      </c>
      <c r="G13" s="494">
        <f t="shared" si="1"/>
        <v>80.234635266927739</v>
      </c>
      <c r="I13" s="259" t="s">
        <v>93</v>
      </c>
      <c r="J13" t="s">
        <v>31</v>
      </c>
      <c r="K13" t="s">
        <v>65</v>
      </c>
      <c r="L13" t="s">
        <v>61</v>
      </c>
      <c r="M13" t="s">
        <v>64</v>
      </c>
      <c r="N13" t="s">
        <v>63</v>
      </c>
      <c r="O13" t="s">
        <v>62</v>
      </c>
      <c r="P13" t="s">
        <v>30</v>
      </c>
      <c r="Q13" t="s">
        <v>29</v>
      </c>
      <c r="R13" t="s">
        <v>28</v>
      </c>
      <c r="S13" t="s">
        <v>90</v>
      </c>
    </row>
    <row r="14" spans="1:19" x14ac:dyDescent="0.55000000000000004">
      <c r="A14" s="179" t="s">
        <v>34</v>
      </c>
      <c r="B14" s="179" t="s">
        <v>61</v>
      </c>
      <c r="C14" s="495">
        <v>7.5212039469757084</v>
      </c>
      <c r="D14" s="316" t="s">
        <v>464</v>
      </c>
      <c r="E14" s="316">
        <v>100</v>
      </c>
      <c r="F14" s="494">
        <f t="shared" si="0"/>
        <v>17.28376676848908</v>
      </c>
      <c r="G14" s="494">
        <f t="shared" si="1"/>
        <v>58.974660314485426</v>
      </c>
      <c r="I14" s="260" t="s">
        <v>43</v>
      </c>
    </row>
    <row r="15" spans="1:19" x14ac:dyDescent="0.55000000000000004">
      <c r="A15" s="179" t="s">
        <v>72</v>
      </c>
      <c r="B15" s="179" t="s">
        <v>61</v>
      </c>
      <c r="C15" s="495">
        <v>7.5212039469757084</v>
      </c>
      <c r="D15" s="316" t="s">
        <v>464</v>
      </c>
      <c r="E15" s="316">
        <v>100</v>
      </c>
      <c r="F15" s="494">
        <f t="shared" si="0"/>
        <v>17.28376676848908</v>
      </c>
      <c r="G15" s="494">
        <f t="shared" si="1"/>
        <v>58.974660314485426</v>
      </c>
      <c r="I15" s="261">
        <v>20</v>
      </c>
      <c r="J15">
        <v>924.18134304684554</v>
      </c>
      <c r="P15">
        <v>68.722586879044997</v>
      </c>
      <c r="Q15">
        <v>23.623489480399179</v>
      </c>
      <c r="R15">
        <v>207.71334528049789</v>
      </c>
    </row>
    <row r="16" spans="1:19" x14ac:dyDescent="0.55000000000000004">
      <c r="A16" s="179" t="s">
        <v>74</v>
      </c>
      <c r="B16" s="179" t="s">
        <v>61</v>
      </c>
      <c r="C16" s="495">
        <v>7.5212039469757084</v>
      </c>
      <c r="D16" s="316" t="s">
        <v>464</v>
      </c>
      <c r="E16" s="316">
        <v>100</v>
      </c>
      <c r="F16" s="494">
        <f t="shared" si="0"/>
        <v>17.28376676848908</v>
      </c>
      <c r="G16" s="494">
        <f t="shared" si="1"/>
        <v>58.974660314485426</v>
      </c>
      <c r="I16" s="261">
        <v>100</v>
      </c>
      <c r="J16">
        <v>922.76492432119244</v>
      </c>
      <c r="P16">
        <v>64.515438882902444</v>
      </c>
      <c r="Q16">
        <v>22.604229149384697</v>
      </c>
      <c r="R16">
        <v>127.16282311946978</v>
      </c>
    </row>
    <row r="17" spans="1:19" x14ac:dyDescent="0.55000000000000004">
      <c r="A17" s="179" t="s">
        <v>75</v>
      </c>
      <c r="B17" s="179" t="s">
        <v>61</v>
      </c>
      <c r="C17" s="495">
        <v>7.8306703816707826</v>
      </c>
      <c r="D17" s="316" t="s">
        <v>464</v>
      </c>
      <c r="E17" s="316">
        <v>100</v>
      </c>
      <c r="F17" s="494">
        <f t="shared" si="0"/>
        <v>17.994922285299161</v>
      </c>
      <c r="G17" s="494">
        <f t="shared" si="1"/>
        <v>61.40122366704756</v>
      </c>
      <c r="I17" s="260" t="s">
        <v>464</v>
      </c>
    </row>
    <row r="18" spans="1:19" x14ac:dyDescent="0.55000000000000004">
      <c r="A18" s="179" t="s">
        <v>34</v>
      </c>
      <c r="B18" s="179" t="s">
        <v>62</v>
      </c>
      <c r="C18" s="495">
        <v>5.0295750403146258</v>
      </c>
      <c r="D18" s="316" t="s">
        <v>464</v>
      </c>
      <c r="E18" s="316">
        <v>20</v>
      </c>
      <c r="F18" s="494">
        <f t="shared" si="0"/>
        <v>11.557990257180407</v>
      </c>
      <c r="G18" s="494">
        <f t="shared" si="1"/>
        <v>39.437499849746786</v>
      </c>
      <c r="I18" s="261">
        <v>20</v>
      </c>
      <c r="J18">
        <v>466.98081745832661</v>
      </c>
      <c r="K18">
        <v>5.3548314678274505</v>
      </c>
      <c r="L18">
        <v>75.193041129795844</v>
      </c>
      <c r="M18">
        <v>18.902627755297981</v>
      </c>
      <c r="N18">
        <v>14.121660284733835</v>
      </c>
      <c r="O18">
        <v>35.285211388953762</v>
      </c>
      <c r="S18">
        <v>137.65076784878437</v>
      </c>
    </row>
    <row r="19" spans="1:19" x14ac:dyDescent="0.55000000000000004">
      <c r="A19" s="179" t="s">
        <v>72</v>
      </c>
      <c r="B19" s="179" t="s">
        <v>62</v>
      </c>
      <c r="C19" s="495">
        <v>5.0295750403146258</v>
      </c>
      <c r="D19" s="316" t="s">
        <v>464</v>
      </c>
      <c r="E19" s="316">
        <v>20</v>
      </c>
      <c r="F19" s="494">
        <f t="shared" si="0"/>
        <v>11.557990257180407</v>
      </c>
      <c r="G19" s="494">
        <f t="shared" si="1"/>
        <v>39.437499849746786</v>
      </c>
      <c r="I19" s="261">
        <v>100</v>
      </c>
      <c r="J19">
        <v>466.41556529117156</v>
      </c>
      <c r="K19">
        <v>2.8351062533585338</v>
      </c>
      <c r="L19">
        <v>59.581301152625961</v>
      </c>
      <c r="M19">
        <v>9.6612618438956943</v>
      </c>
      <c r="N19">
        <v>5.1009148664856756</v>
      </c>
      <c r="O19">
        <v>17.252183165282986</v>
      </c>
      <c r="S19">
        <v>73.183790144827356</v>
      </c>
    </row>
    <row r="20" spans="1:19" x14ac:dyDescent="0.55000000000000004">
      <c r="A20" s="179" t="s">
        <v>74</v>
      </c>
      <c r="B20" s="179" t="s">
        <v>62</v>
      </c>
      <c r="C20" s="495">
        <v>2.841875773162593</v>
      </c>
      <c r="D20" s="316" t="s">
        <v>464</v>
      </c>
      <c r="E20" s="316">
        <v>20</v>
      </c>
      <c r="F20" s="494">
        <f t="shared" si="0"/>
        <v>6.5306456778256115</v>
      </c>
      <c r="G20" s="494">
        <f t="shared" si="1"/>
        <v>22.283488063851976</v>
      </c>
    </row>
    <row r="21" spans="1:19" x14ac:dyDescent="0.55000000000000004">
      <c r="A21" s="179" t="s">
        <v>75</v>
      </c>
      <c r="B21" s="179" t="s">
        <v>62</v>
      </c>
      <c r="C21" s="495">
        <v>5.0990623029371562</v>
      </c>
      <c r="D21" s="316" t="s">
        <v>464</v>
      </c>
      <c r="E21" s="316">
        <v>20</v>
      </c>
      <c r="F21" s="494">
        <f t="shared" si="0"/>
        <v>11.717672357149455</v>
      </c>
      <c r="G21" s="494">
        <f t="shared" si="1"/>
        <v>39.982357792469507</v>
      </c>
    </row>
    <row r="22" spans="1:19" x14ac:dyDescent="0.55000000000000004">
      <c r="A22" s="179" t="s">
        <v>34</v>
      </c>
      <c r="B22" s="179" t="s">
        <v>62</v>
      </c>
      <c r="C22" s="495">
        <v>2.4616343539934133</v>
      </c>
      <c r="D22" s="316" t="s">
        <v>464</v>
      </c>
      <c r="E22" s="316">
        <v>100</v>
      </c>
      <c r="F22" s="494">
        <f t="shared" si="0"/>
        <v>5.6568488693662413</v>
      </c>
      <c r="G22" s="494">
        <f t="shared" si="1"/>
        <v>19.301969587409488</v>
      </c>
    </row>
    <row r="23" spans="1:19" x14ac:dyDescent="0.55000000000000004">
      <c r="A23" s="179" t="s">
        <v>72</v>
      </c>
      <c r="B23" s="179" t="s">
        <v>62</v>
      </c>
      <c r="C23" s="495">
        <v>2.4616343539934133</v>
      </c>
      <c r="D23" s="316" t="s">
        <v>464</v>
      </c>
      <c r="E23" s="316">
        <v>100</v>
      </c>
      <c r="F23" s="494">
        <f t="shared" si="0"/>
        <v>5.6568488693662413</v>
      </c>
      <c r="G23" s="494">
        <f t="shared" si="1"/>
        <v>19.301969587409488</v>
      </c>
      <c r="M23" s="259" t="s">
        <v>93</v>
      </c>
      <c r="N23" t="s">
        <v>487</v>
      </c>
      <c r="O23" t="s">
        <v>488</v>
      </c>
    </row>
    <row r="24" spans="1:19" x14ac:dyDescent="0.55000000000000004">
      <c r="A24" s="179" t="s">
        <v>74</v>
      </c>
      <c r="B24" s="179" t="s">
        <v>62</v>
      </c>
      <c r="C24" s="495">
        <v>1.3909045947072729</v>
      </c>
      <c r="D24" s="316" t="s">
        <v>464</v>
      </c>
      <c r="E24" s="316">
        <v>100</v>
      </c>
      <c r="F24" s="494">
        <f t="shared" si="0"/>
        <v>3.1963061740676371</v>
      </c>
      <c r="G24" s="494">
        <f t="shared" si="1"/>
        <v>10.906249395843352</v>
      </c>
      <c r="M24" s="260">
        <v>20</v>
      </c>
    </row>
    <row r="25" spans="1:19" x14ac:dyDescent="0.55000000000000004">
      <c r="A25" s="179" t="s">
        <v>75</v>
      </c>
      <c r="B25" s="179" t="s">
        <v>62</v>
      </c>
      <c r="C25" s="495">
        <v>2.4867040520706301</v>
      </c>
      <c r="D25" s="316" t="s">
        <v>464</v>
      </c>
      <c r="E25" s="316">
        <v>100</v>
      </c>
      <c r="F25" s="494">
        <f t="shared" si="0"/>
        <v>5.7144591692035807</v>
      </c>
      <c r="G25" s="494">
        <f t="shared" si="1"/>
        <v>19.498544090469611</v>
      </c>
      <c r="M25" s="261" t="s">
        <v>43</v>
      </c>
    </row>
    <row r="26" spans="1:19" x14ac:dyDescent="0.55000000000000004">
      <c r="A26" s="179" t="s">
        <v>34</v>
      </c>
      <c r="B26" s="179" t="s">
        <v>63</v>
      </c>
      <c r="C26" s="495">
        <v>1.8009949642669243</v>
      </c>
      <c r="D26" s="316" t="s">
        <v>464</v>
      </c>
      <c r="E26" s="316">
        <v>20</v>
      </c>
      <c r="F26" s="494">
        <f t="shared" si="0"/>
        <v>4.1386960296601814</v>
      </c>
      <c r="G26" s="494">
        <f t="shared" si="1"/>
        <v>14.121817064733257</v>
      </c>
      <c r="M26" s="284" t="s">
        <v>29</v>
      </c>
      <c r="N26">
        <v>2.115488440059127</v>
      </c>
      <c r="O26">
        <v>6.9233613260301707</v>
      </c>
    </row>
    <row r="27" spans="1:19" x14ac:dyDescent="0.55000000000000004">
      <c r="A27" s="179" t="s">
        <v>72</v>
      </c>
      <c r="B27" s="179" t="s">
        <v>63</v>
      </c>
      <c r="C27" s="495">
        <v>1.8009949642669243</v>
      </c>
      <c r="D27" s="316" t="s">
        <v>464</v>
      </c>
      <c r="E27" s="316">
        <v>20</v>
      </c>
      <c r="F27" s="494">
        <f t="shared" si="0"/>
        <v>4.1386960296601814</v>
      </c>
      <c r="G27" s="494">
        <f t="shared" si="1"/>
        <v>14.121817064733257</v>
      </c>
      <c r="M27" s="284" t="s">
        <v>30</v>
      </c>
      <c r="N27">
        <v>6.1541220755809416</v>
      </c>
      <c r="O27">
        <v>20.140602031630465</v>
      </c>
    </row>
    <row r="28" spans="1:19" x14ac:dyDescent="0.55000000000000004">
      <c r="A28" s="179" t="s">
        <v>74</v>
      </c>
      <c r="B28" s="179" t="s">
        <v>63</v>
      </c>
      <c r="C28" s="495">
        <v>1.8009949642669243</v>
      </c>
      <c r="D28" s="316" t="s">
        <v>464</v>
      </c>
      <c r="E28" s="316">
        <v>20</v>
      </c>
      <c r="F28" s="494">
        <f t="shared" si="0"/>
        <v>4.1386960296601814</v>
      </c>
      <c r="G28" s="494">
        <f t="shared" si="1"/>
        <v>14.121817064733257</v>
      </c>
      <c r="M28" s="284" t="s">
        <v>28</v>
      </c>
      <c r="N28">
        <v>18.600773655877287</v>
      </c>
      <c r="O28">
        <v>60.874772239238666</v>
      </c>
    </row>
    <row r="29" spans="1:19" x14ac:dyDescent="0.55000000000000004">
      <c r="A29" s="179" t="s">
        <v>75</v>
      </c>
      <c r="B29" s="179" t="s">
        <v>63</v>
      </c>
      <c r="C29" s="495">
        <v>1.8009149858935565</v>
      </c>
      <c r="D29" s="316" t="s">
        <v>464</v>
      </c>
      <c r="E29" s="316">
        <v>20</v>
      </c>
      <c r="F29" s="494">
        <f t="shared" si="0"/>
        <v>4.1385122389317877</v>
      </c>
      <c r="G29" s="494">
        <f t="shared" si="1"/>
        <v>14.121189944735566</v>
      </c>
      <c r="M29" s="284" t="s">
        <v>31</v>
      </c>
      <c r="N29">
        <v>82.760633197567884</v>
      </c>
      <c r="O29">
        <v>270.85081456734196</v>
      </c>
    </row>
    <row r="30" spans="1:19" x14ac:dyDescent="0.55000000000000004">
      <c r="A30" s="179" t="s">
        <v>34</v>
      </c>
      <c r="B30" s="179" t="s">
        <v>63</v>
      </c>
      <c r="C30" s="495">
        <v>0.65054121133520426</v>
      </c>
      <c r="D30" s="316" t="s">
        <v>464</v>
      </c>
      <c r="E30" s="316">
        <v>100</v>
      </c>
      <c r="F30" s="494">
        <f t="shared" si="0"/>
        <v>1.4949471719257383</v>
      </c>
      <c r="G30" s="494">
        <f t="shared" si="1"/>
        <v>5.1009714973218312</v>
      </c>
      <c r="M30" s="284" t="s">
        <v>91</v>
      </c>
      <c r="N30">
        <v>109.63101736908523</v>
      </c>
      <c r="O30">
        <v>358.78955016424123</v>
      </c>
    </row>
    <row r="31" spans="1:19" x14ac:dyDescent="0.55000000000000004">
      <c r="A31" s="179" t="s">
        <v>72</v>
      </c>
      <c r="B31" s="179" t="s">
        <v>63</v>
      </c>
      <c r="C31" s="495">
        <v>0.65054121133520426</v>
      </c>
      <c r="D31" s="316" t="s">
        <v>464</v>
      </c>
      <c r="E31" s="316">
        <v>100</v>
      </c>
      <c r="F31" s="494">
        <f t="shared" si="0"/>
        <v>1.4949471719257383</v>
      </c>
      <c r="G31" s="494">
        <f t="shared" si="1"/>
        <v>5.1009714973218312</v>
      </c>
      <c r="M31" s="261" t="s">
        <v>464</v>
      </c>
    </row>
    <row r="32" spans="1:19" x14ac:dyDescent="0.55000000000000004">
      <c r="A32" s="179" t="s">
        <v>74</v>
      </c>
      <c r="B32" s="179" t="s">
        <v>63</v>
      </c>
      <c r="C32" s="495">
        <v>0.65054121133520426</v>
      </c>
      <c r="D32" s="316" t="s">
        <v>464</v>
      </c>
      <c r="E32" s="316">
        <v>100</v>
      </c>
      <c r="F32" s="494">
        <f t="shared" si="0"/>
        <v>1.4949471719257383</v>
      </c>
      <c r="G32" s="494">
        <f t="shared" si="1"/>
        <v>5.1009714973218312</v>
      </c>
      <c r="M32" s="284" t="s">
        <v>65</v>
      </c>
      <c r="N32">
        <v>0.68291668585196075</v>
      </c>
      <c r="O32">
        <v>1.5693461849709549</v>
      </c>
    </row>
    <row r="33" spans="1:15" x14ac:dyDescent="0.55000000000000004">
      <c r="A33" s="179" t="s">
        <v>75</v>
      </c>
      <c r="B33" s="179" t="s">
        <v>63</v>
      </c>
      <c r="C33" s="495">
        <v>0.65051232217730892</v>
      </c>
      <c r="D33" s="316" t="s">
        <v>464</v>
      </c>
      <c r="E33" s="316">
        <v>100</v>
      </c>
      <c r="F33" s="494">
        <f t="shared" si="0"/>
        <v>1.4948807844868761</v>
      </c>
      <c r="G33" s="494">
        <f t="shared" si="1"/>
        <v>5.1007449739772106</v>
      </c>
      <c r="M33" s="284" t="s">
        <v>63</v>
      </c>
      <c r="N33">
        <v>1.8009749696735824</v>
      </c>
      <c r="O33">
        <v>4.1386500819780832</v>
      </c>
    </row>
    <row r="34" spans="1:15" x14ac:dyDescent="0.55000000000000004">
      <c r="A34" s="179" t="s">
        <v>34</v>
      </c>
      <c r="B34" s="179" t="s">
        <v>64</v>
      </c>
      <c r="C34" s="495">
        <v>2.4094314112167869</v>
      </c>
      <c r="D34" s="316" t="s">
        <v>464</v>
      </c>
      <c r="E34" s="316">
        <v>20</v>
      </c>
      <c r="F34" s="494">
        <f t="shared" ref="F34:F65" si="2">IF(D34="LNG",(C34*L$2),IF(D34="Crude",(C34*L$3),"X"))</f>
        <v>5.5368862285522269</v>
      </c>
      <c r="G34" s="494">
        <f t="shared" ref="G34:G65" si="3">(F34*1000)*kWh2mmBTU</f>
        <v>18.892640065251538</v>
      </c>
      <c r="M34" s="284" t="s">
        <v>64</v>
      </c>
      <c r="N34">
        <v>2.4107051693596553</v>
      </c>
      <c r="O34">
        <v>5.5398133315554174</v>
      </c>
    </row>
    <row r="35" spans="1:15" x14ac:dyDescent="0.55000000000000004">
      <c r="A35" s="179" t="s">
        <v>72</v>
      </c>
      <c r="B35" s="179" t="s">
        <v>64</v>
      </c>
      <c r="C35" s="495">
        <v>2.4094314112167869</v>
      </c>
      <c r="D35" s="316" t="s">
        <v>464</v>
      </c>
      <c r="E35" s="316">
        <v>20</v>
      </c>
      <c r="F35" s="494">
        <f t="shared" si="2"/>
        <v>5.5368862285522269</v>
      </c>
      <c r="G35" s="494">
        <f t="shared" si="3"/>
        <v>18.892640065251538</v>
      </c>
      <c r="M35" s="284" t="s">
        <v>62</v>
      </c>
      <c r="N35">
        <v>4.5000220391822499</v>
      </c>
      <c r="O35">
        <v>10.341074637333969</v>
      </c>
    </row>
    <row r="36" spans="1:15" x14ac:dyDescent="0.55000000000000004">
      <c r="A36" s="179" t="s">
        <v>74</v>
      </c>
      <c r="B36" s="179" t="s">
        <v>64</v>
      </c>
      <c r="C36" s="495">
        <v>2.4094314112167869</v>
      </c>
      <c r="D36" s="316" t="s">
        <v>464</v>
      </c>
      <c r="E36" s="316">
        <v>20</v>
      </c>
      <c r="F36" s="494">
        <f t="shared" si="2"/>
        <v>5.5368862285522269</v>
      </c>
      <c r="G36" s="494">
        <f t="shared" si="3"/>
        <v>18.892640065251538</v>
      </c>
      <c r="M36" s="284" t="s">
        <v>61</v>
      </c>
      <c r="N36">
        <v>9.5895795705264639</v>
      </c>
      <c r="O36">
        <v>22.036904978689368</v>
      </c>
    </row>
    <row r="37" spans="1:15" x14ac:dyDescent="0.55000000000000004">
      <c r="A37" s="179" t="s">
        <v>75</v>
      </c>
      <c r="B37" s="179" t="s">
        <v>64</v>
      </c>
      <c r="C37" s="495">
        <v>2.4145264437882608</v>
      </c>
      <c r="D37" s="316" t="s">
        <v>464</v>
      </c>
      <c r="E37" s="316">
        <v>20</v>
      </c>
      <c r="F37" s="494">
        <f t="shared" si="2"/>
        <v>5.54859464056499</v>
      </c>
      <c r="G37" s="494">
        <f t="shared" si="3"/>
        <v>18.932590825437313</v>
      </c>
      <c r="M37" s="284" t="s">
        <v>90</v>
      </c>
      <c r="N37">
        <v>17.554988751571024</v>
      </c>
      <c r="O37">
        <v>40.341457743292182</v>
      </c>
    </row>
    <row r="38" spans="1:15" x14ac:dyDescent="0.55000000000000004">
      <c r="A38" s="179" t="s">
        <v>34</v>
      </c>
      <c r="B38" s="179" t="s">
        <v>64</v>
      </c>
      <c r="C38" s="495">
        <v>1.2316718887209317</v>
      </c>
      <c r="D38" s="316" t="s">
        <v>464</v>
      </c>
      <c r="E38" s="316">
        <v>100</v>
      </c>
      <c r="F38" s="494">
        <f t="shared" si="2"/>
        <v>2.830388566782176</v>
      </c>
      <c r="G38" s="494">
        <f t="shared" si="3"/>
        <v>9.6576866906295376</v>
      </c>
      <c r="M38" s="284" t="s">
        <v>31</v>
      </c>
      <c r="N38">
        <v>59.555374269223613</v>
      </c>
      <c r="O38">
        <v>136.85856758255267</v>
      </c>
    </row>
    <row r="39" spans="1:15" x14ac:dyDescent="0.55000000000000004">
      <c r="A39" s="179" t="s">
        <v>72</v>
      </c>
      <c r="B39" s="179" t="s">
        <v>64</v>
      </c>
      <c r="C39" s="495">
        <v>1.2316718887209317</v>
      </c>
      <c r="D39" s="316" t="s">
        <v>464</v>
      </c>
      <c r="E39" s="316">
        <v>100</v>
      </c>
      <c r="F39" s="494">
        <f t="shared" si="2"/>
        <v>2.830388566782176</v>
      </c>
      <c r="G39" s="494">
        <f t="shared" si="3"/>
        <v>9.6576866906295376</v>
      </c>
      <c r="M39" s="284" t="s">
        <v>91</v>
      </c>
      <c r="N39">
        <v>96.094561455388543</v>
      </c>
      <c r="O39">
        <v>220.82581454037259</v>
      </c>
    </row>
    <row r="40" spans="1:15" x14ac:dyDescent="0.55000000000000004">
      <c r="A40" s="179" t="s">
        <v>74</v>
      </c>
      <c r="B40" s="179" t="s">
        <v>64</v>
      </c>
      <c r="C40" s="495">
        <v>1.2316718887209317</v>
      </c>
      <c r="D40" s="316" t="s">
        <v>464</v>
      </c>
      <c r="E40" s="316">
        <v>100</v>
      </c>
      <c r="F40" s="494">
        <f t="shared" si="2"/>
        <v>2.830388566782176</v>
      </c>
      <c r="G40" s="494">
        <f t="shared" si="3"/>
        <v>9.6576866906295376</v>
      </c>
      <c r="M40" s="260">
        <v>100</v>
      </c>
    </row>
    <row r="41" spans="1:15" x14ac:dyDescent="0.55000000000000004">
      <c r="A41" s="179" t="s">
        <v>75</v>
      </c>
      <c r="B41" s="179" t="s">
        <v>64</v>
      </c>
      <c r="C41" s="495">
        <v>1.2334956860408701</v>
      </c>
      <c r="D41" s="316" t="s">
        <v>464</v>
      </c>
      <c r="E41" s="316">
        <v>100</v>
      </c>
      <c r="F41" s="494">
        <f t="shared" si="2"/>
        <v>2.8345796627467372</v>
      </c>
      <c r="G41" s="494">
        <f t="shared" si="3"/>
        <v>9.6719873036941628</v>
      </c>
      <c r="M41" s="261" t="s">
        <v>43</v>
      </c>
    </row>
    <row r="42" spans="1:15" x14ac:dyDescent="0.55000000000000004">
      <c r="A42" s="179" t="s">
        <v>34</v>
      </c>
      <c r="B42" s="179" t="s">
        <v>65</v>
      </c>
      <c r="C42" s="495">
        <v>0.69672944801525905</v>
      </c>
      <c r="D42" s="316" t="s">
        <v>464</v>
      </c>
      <c r="E42" s="316">
        <v>20</v>
      </c>
      <c r="F42" s="494">
        <f t="shared" si="2"/>
        <v>1.601087986063193</v>
      </c>
      <c r="G42" s="494">
        <f t="shared" si="3"/>
        <v>5.4631389891136992</v>
      </c>
      <c r="M42" s="284" t="s">
        <v>29</v>
      </c>
      <c r="N42">
        <v>2.0242134635379379</v>
      </c>
      <c r="O42">
        <v>6.6246456107774581</v>
      </c>
    </row>
    <row r="43" spans="1:15" x14ac:dyDescent="0.55000000000000004">
      <c r="A43" s="179" t="s">
        <v>72</v>
      </c>
      <c r="B43" s="179" t="s">
        <v>65</v>
      </c>
      <c r="C43" s="495">
        <v>0.69672944801525905</v>
      </c>
      <c r="D43" s="316" t="s">
        <v>464</v>
      </c>
      <c r="E43" s="316">
        <v>20</v>
      </c>
      <c r="F43" s="494">
        <f t="shared" si="2"/>
        <v>1.601087986063193</v>
      </c>
      <c r="G43" s="494">
        <f t="shared" si="3"/>
        <v>5.4631389891136992</v>
      </c>
      <c r="M43" s="284" t="s">
        <v>30</v>
      </c>
      <c r="N43">
        <v>5.7773710897097761</v>
      </c>
      <c r="O43">
        <v>18.90760866908991</v>
      </c>
    </row>
    <row r="44" spans="1:15" x14ac:dyDescent="0.55000000000000004">
      <c r="A44" s="179" t="s">
        <v>74</v>
      </c>
      <c r="B44" s="179" t="s">
        <v>65</v>
      </c>
      <c r="C44" s="495">
        <v>0.69672944801525905</v>
      </c>
      <c r="D44" s="316" t="s">
        <v>464</v>
      </c>
      <c r="E44" s="316">
        <v>20</v>
      </c>
      <c r="F44" s="494">
        <f t="shared" si="2"/>
        <v>1.601087986063193</v>
      </c>
      <c r="G44" s="494">
        <f t="shared" si="3"/>
        <v>5.4631389891136992</v>
      </c>
      <c r="M44" s="284" t="s">
        <v>28</v>
      </c>
      <c r="N44">
        <v>11.387457493852688</v>
      </c>
      <c r="O44">
        <v>37.267744565197731</v>
      </c>
    </row>
    <row r="45" spans="1:15" x14ac:dyDescent="0.55000000000000004">
      <c r="A45" s="179" t="s">
        <v>75</v>
      </c>
      <c r="B45" s="179" t="s">
        <v>65</v>
      </c>
      <c r="C45" s="495">
        <v>0.64147839936206574</v>
      </c>
      <c r="D45" s="316" t="s">
        <v>464</v>
      </c>
      <c r="E45" s="316">
        <v>20</v>
      </c>
      <c r="F45" s="494">
        <f t="shared" si="2"/>
        <v>1.4741207816942408</v>
      </c>
      <c r="G45" s="494">
        <f t="shared" si="3"/>
        <v>5.0299089039687015</v>
      </c>
      <c r="M45" s="284" t="s">
        <v>31</v>
      </c>
      <c r="N45">
        <v>82.633792603468166</v>
      </c>
      <c r="O45">
        <v>270.43570321663384</v>
      </c>
    </row>
    <row r="46" spans="1:15" x14ac:dyDescent="0.55000000000000004">
      <c r="A46" s="179" t="s">
        <v>34</v>
      </c>
      <c r="B46" s="179" t="s">
        <v>65</v>
      </c>
      <c r="C46" s="495">
        <v>0.36655886184282716</v>
      </c>
      <c r="D46" s="316" t="s">
        <v>464</v>
      </c>
      <c r="E46" s="316">
        <v>100</v>
      </c>
      <c r="F46" s="494">
        <f t="shared" si="2"/>
        <v>0.84235421877660444</v>
      </c>
      <c r="G46" s="494">
        <f t="shared" si="3"/>
        <v>2.8742319068661395</v>
      </c>
      <c r="M46" s="284" t="s">
        <v>91</v>
      </c>
      <c r="N46">
        <v>101.82283465056859</v>
      </c>
      <c r="O46">
        <v>333.23570206169893</v>
      </c>
    </row>
    <row r="47" spans="1:15" x14ac:dyDescent="0.55000000000000004">
      <c r="A47" s="179" t="s">
        <v>72</v>
      </c>
      <c r="B47" s="179" t="s">
        <v>65</v>
      </c>
      <c r="C47" s="495">
        <v>0.36655886184282716</v>
      </c>
      <c r="D47" s="316" t="s">
        <v>464</v>
      </c>
      <c r="E47" s="316">
        <v>100</v>
      </c>
      <c r="F47" s="494">
        <f t="shared" si="2"/>
        <v>0.84235421877660444</v>
      </c>
      <c r="G47" s="494">
        <f t="shared" si="3"/>
        <v>2.8742319068661395</v>
      </c>
      <c r="M47" s="261" t="s">
        <v>464</v>
      </c>
    </row>
    <row r="48" spans="1:15" x14ac:dyDescent="0.55000000000000004">
      <c r="A48" s="179" t="s">
        <v>74</v>
      </c>
      <c r="B48" s="179" t="s">
        <v>65</v>
      </c>
      <c r="C48" s="495">
        <v>0.36655886184282716</v>
      </c>
      <c r="D48" s="316" t="s">
        <v>464</v>
      </c>
      <c r="E48" s="316">
        <v>100</v>
      </c>
      <c r="F48" s="494">
        <f t="shared" si="2"/>
        <v>0.84235421877660444</v>
      </c>
      <c r="G48" s="494">
        <f t="shared" si="3"/>
        <v>2.8742319068661395</v>
      </c>
      <c r="M48" s="284" t="s">
        <v>65</v>
      </c>
      <c r="N48">
        <v>0.36156905744174728</v>
      </c>
      <c r="O48">
        <v>0.83088762166041763</v>
      </c>
    </row>
    <row r="49" spans="1:15" x14ac:dyDescent="0.55000000000000004">
      <c r="A49" s="179" t="s">
        <v>75</v>
      </c>
      <c r="B49" s="179" t="s">
        <v>65</v>
      </c>
      <c r="C49" s="495">
        <v>0.3465996442385077</v>
      </c>
      <c r="D49" s="316" t="s">
        <v>464</v>
      </c>
      <c r="E49" s="316">
        <v>100</v>
      </c>
      <c r="F49" s="494">
        <f t="shared" si="2"/>
        <v>0.7964878303118571</v>
      </c>
      <c r="G49" s="494">
        <f t="shared" si="3"/>
        <v>2.7177292928357164</v>
      </c>
      <c r="M49" s="284" t="s">
        <v>63</v>
      </c>
      <c r="N49">
        <v>0.65053398904573045</v>
      </c>
      <c r="O49">
        <v>1.4949305750660229</v>
      </c>
    </row>
    <row r="50" spans="1:15" x14ac:dyDescent="0.55000000000000004">
      <c r="A50" s="179" t="s">
        <v>34</v>
      </c>
      <c r="B50" s="179" t="s">
        <v>31</v>
      </c>
      <c r="C50" s="495">
        <v>59.555374269223613</v>
      </c>
      <c r="D50" s="316" t="s">
        <v>464</v>
      </c>
      <c r="E50" s="316">
        <v>20</v>
      </c>
      <c r="F50" s="494">
        <f t="shared" si="2"/>
        <v>136.85856758255267</v>
      </c>
      <c r="G50" s="494">
        <f t="shared" si="3"/>
        <v>466.98081745832661</v>
      </c>
      <c r="M50" s="284" t="s">
        <v>64</v>
      </c>
      <c r="N50">
        <v>1.2321278380509162</v>
      </c>
      <c r="O50">
        <v>2.8314363407733163</v>
      </c>
    </row>
    <row r="51" spans="1:15" x14ac:dyDescent="0.55000000000000004">
      <c r="A51" s="179" t="s">
        <v>72</v>
      </c>
      <c r="B51" s="179" t="s">
        <v>31</v>
      </c>
      <c r="C51" s="495">
        <v>59.555374269223613</v>
      </c>
      <c r="D51" s="316" t="s">
        <v>464</v>
      </c>
      <c r="E51" s="316">
        <v>20</v>
      </c>
      <c r="F51" s="494">
        <f t="shared" si="2"/>
        <v>136.85856758255267</v>
      </c>
      <c r="G51" s="494">
        <f t="shared" si="3"/>
        <v>466.98081745832661</v>
      </c>
      <c r="M51" s="284" t="s">
        <v>62</v>
      </c>
      <c r="N51">
        <v>2.2002193386911824</v>
      </c>
      <c r="O51">
        <v>5.0561157705009254</v>
      </c>
    </row>
    <row r="52" spans="1:15" x14ac:dyDescent="0.55000000000000004">
      <c r="A52" s="179" t="s">
        <v>74</v>
      </c>
      <c r="B52" s="179" t="s">
        <v>31</v>
      </c>
      <c r="C52" s="495">
        <v>59.555374269223613</v>
      </c>
      <c r="D52" s="316" t="s">
        <v>464</v>
      </c>
      <c r="E52" s="316">
        <v>20</v>
      </c>
      <c r="F52" s="494">
        <f t="shared" si="2"/>
        <v>136.85856758255267</v>
      </c>
      <c r="G52" s="494">
        <f t="shared" si="3"/>
        <v>466.98081745832661</v>
      </c>
      <c r="M52" s="284" t="s">
        <v>61</v>
      </c>
      <c r="N52">
        <v>7.5985705556494763</v>
      </c>
      <c r="O52">
        <v>17.461555647691601</v>
      </c>
    </row>
    <row r="53" spans="1:15" x14ac:dyDescent="0.55000000000000004">
      <c r="A53" s="179" t="s">
        <v>75</v>
      </c>
      <c r="B53" s="179" t="s">
        <v>31</v>
      </c>
      <c r="C53" s="495">
        <v>59.555374269223613</v>
      </c>
      <c r="D53" s="316" t="s">
        <v>464</v>
      </c>
      <c r="E53" s="316">
        <v>20</v>
      </c>
      <c r="F53" s="494">
        <f t="shared" si="2"/>
        <v>136.85856758255267</v>
      </c>
      <c r="G53" s="494">
        <f t="shared" si="3"/>
        <v>466.98081745832661</v>
      </c>
      <c r="M53" s="284" t="s">
        <v>90</v>
      </c>
      <c r="N53">
        <v>9.3333341532909166</v>
      </c>
      <c r="O53">
        <v>21.448051643742346</v>
      </c>
    </row>
    <row r="54" spans="1:15" x14ac:dyDescent="0.55000000000000004">
      <c r="A54" s="179" t="s">
        <v>34</v>
      </c>
      <c r="B54" s="179" t="s">
        <v>31</v>
      </c>
      <c r="C54" s="495">
        <v>59.483286073921214</v>
      </c>
      <c r="D54" s="316" t="s">
        <v>464</v>
      </c>
      <c r="E54" s="316">
        <v>100</v>
      </c>
      <c r="F54" s="494">
        <f t="shared" si="2"/>
        <v>136.69290852541874</v>
      </c>
      <c r="G54" s="494">
        <f t="shared" si="3"/>
        <v>466.41556529117156</v>
      </c>
      <c r="M54" s="284" t="s">
        <v>31</v>
      </c>
      <c r="N54">
        <v>59.483286073921214</v>
      </c>
      <c r="O54">
        <v>136.69290852541874</v>
      </c>
    </row>
    <row r="55" spans="1:15" x14ac:dyDescent="0.55000000000000004">
      <c r="A55" s="179" t="s">
        <v>72</v>
      </c>
      <c r="B55" s="179" t="s">
        <v>31</v>
      </c>
      <c r="C55" s="495">
        <v>59.483286073921214</v>
      </c>
      <c r="D55" s="316" t="s">
        <v>464</v>
      </c>
      <c r="E55" s="316">
        <v>100</v>
      </c>
      <c r="F55" s="494">
        <f t="shared" si="2"/>
        <v>136.69290852541874</v>
      </c>
      <c r="G55" s="494">
        <f t="shared" si="3"/>
        <v>466.41556529117156</v>
      </c>
      <c r="M55" s="284" t="s">
        <v>91</v>
      </c>
      <c r="N55">
        <v>80.859641006091195</v>
      </c>
      <c r="O55">
        <v>185.81588612485336</v>
      </c>
    </row>
    <row r="56" spans="1:15" x14ac:dyDescent="0.55000000000000004">
      <c r="A56" s="179" t="s">
        <v>74</v>
      </c>
      <c r="B56" s="179" t="s">
        <v>31</v>
      </c>
      <c r="C56" s="495">
        <v>59.483286073921214</v>
      </c>
      <c r="D56" s="316" t="s">
        <v>464</v>
      </c>
      <c r="E56" s="316">
        <v>100</v>
      </c>
      <c r="F56" s="494">
        <f t="shared" si="2"/>
        <v>136.69290852541874</v>
      </c>
      <c r="G56" s="494">
        <f t="shared" si="3"/>
        <v>466.41556529117156</v>
      </c>
      <c r="M56" s="260" t="s">
        <v>94</v>
      </c>
      <c r="N56">
        <v>34.418967439542143</v>
      </c>
      <c r="O56">
        <v>104.22950396244275</v>
      </c>
    </row>
    <row r="57" spans="1:15" x14ac:dyDescent="0.55000000000000004">
      <c r="A57" s="179" t="s">
        <v>75</v>
      </c>
      <c r="B57" s="179" t="s">
        <v>31</v>
      </c>
      <c r="C57" s="495">
        <v>59.483286073921214</v>
      </c>
      <c r="D57" s="316" t="s">
        <v>464</v>
      </c>
      <c r="E57" s="316">
        <v>100</v>
      </c>
      <c r="F57" s="494">
        <f t="shared" si="2"/>
        <v>136.69290852541874</v>
      </c>
      <c r="G57" s="494">
        <f t="shared" si="3"/>
        <v>466.41556529117156</v>
      </c>
    </row>
    <row r="58" spans="1:15" x14ac:dyDescent="0.55000000000000004">
      <c r="A58" s="179" t="s">
        <v>34</v>
      </c>
      <c r="B58" s="179" t="s">
        <v>91</v>
      </c>
      <c r="C58" s="495">
        <v>95.573344389186147</v>
      </c>
      <c r="D58" s="316" t="s">
        <v>464</v>
      </c>
      <c r="E58" s="316">
        <v>20</v>
      </c>
      <c r="F58" s="494">
        <f t="shared" si="2"/>
        <v>219.62805494343726</v>
      </c>
      <c r="G58" s="494">
        <f t="shared" si="3"/>
        <v>749.40203193638899</v>
      </c>
    </row>
    <row r="59" spans="1:15" x14ac:dyDescent="0.55000000000000004">
      <c r="A59" s="179" t="s">
        <v>72</v>
      </c>
      <c r="B59" s="179" t="s">
        <v>91</v>
      </c>
      <c r="C59" s="495">
        <v>94.038133911490959</v>
      </c>
      <c r="D59" s="316" t="s">
        <v>464</v>
      </c>
      <c r="E59" s="316">
        <v>20</v>
      </c>
      <c r="F59" s="494">
        <f t="shared" si="2"/>
        <v>216.10013308091499</v>
      </c>
      <c r="G59" s="494">
        <f t="shared" si="3"/>
        <v>737.36426284096137</v>
      </c>
    </row>
    <row r="60" spans="1:15" x14ac:dyDescent="0.55000000000000004">
      <c r="A60" s="179" t="s">
        <v>74</v>
      </c>
      <c r="B60" s="179" t="s">
        <v>91</v>
      </c>
      <c r="C60" s="495">
        <v>88.905370793951775</v>
      </c>
      <c r="D60" s="316" t="s">
        <v>464</v>
      </c>
      <c r="E60" s="316">
        <v>20</v>
      </c>
      <c r="F60" s="494">
        <f t="shared" si="2"/>
        <v>204.30501607213847</v>
      </c>
      <c r="G60" s="494">
        <f t="shared" si="3"/>
        <v>697.1176529277559</v>
      </c>
    </row>
    <row r="61" spans="1:15" x14ac:dyDescent="0.55000000000000004">
      <c r="A61" s="179" t="s">
        <v>75</v>
      </c>
      <c r="B61" s="179" t="s">
        <v>91</v>
      </c>
      <c r="C61" s="495">
        <v>105.86139672692528</v>
      </c>
      <c r="D61" s="316" t="s">
        <v>464</v>
      </c>
      <c r="E61" s="316">
        <v>20</v>
      </c>
      <c r="F61" s="494">
        <f t="shared" si="2"/>
        <v>243.27005406499973</v>
      </c>
      <c r="G61" s="494">
        <f t="shared" si="3"/>
        <v>830.07188162977241</v>
      </c>
    </row>
    <row r="62" spans="1:15" x14ac:dyDescent="0.55000000000000004">
      <c r="A62" s="179" t="s">
        <v>34</v>
      </c>
      <c r="B62" s="179" t="s">
        <v>91</v>
      </c>
      <c r="C62" s="495">
        <v>81.258841624935741</v>
      </c>
      <c r="D62" s="316" t="s">
        <v>464</v>
      </c>
      <c r="E62" s="316">
        <v>100</v>
      </c>
      <c r="F62" s="494">
        <f t="shared" si="2"/>
        <v>186.73325127524529</v>
      </c>
      <c r="G62" s="494">
        <f t="shared" si="3"/>
        <v>637.1603025478538</v>
      </c>
    </row>
    <row r="63" spans="1:15" x14ac:dyDescent="0.55000000000000004">
      <c r="A63" s="179" t="s">
        <v>72</v>
      </c>
      <c r="B63" s="179" t="s">
        <v>91</v>
      </c>
      <c r="C63" s="495">
        <v>80.327579480028263</v>
      </c>
      <c r="D63" s="316" t="s">
        <v>464</v>
      </c>
      <c r="E63" s="316">
        <v>100</v>
      </c>
      <c r="F63" s="494">
        <f t="shared" si="2"/>
        <v>184.59320590134266</v>
      </c>
      <c r="G63" s="494">
        <f t="shared" si="3"/>
        <v>629.85816461264449</v>
      </c>
    </row>
    <row r="64" spans="1:15" x14ac:dyDescent="0.55000000000000004">
      <c r="A64" s="179" t="s">
        <v>74</v>
      </c>
      <c r="B64" s="179" t="s">
        <v>91</v>
      </c>
      <c r="C64" s="495">
        <v>76.877686673501657</v>
      </c>
      <c r="D64" s="316" t="s">
        <v>464</v>
      </c>
      <c r="E64" s="316">
        <v>100</v>
      </c>
      <c r="F64" s="494">
        <f t="shared" si="2"/>
        <v>176.66533383928132</v>
      </c>
      <c r="G64" s="494">
        <f t="shared" si="3"/>
        <v>602.80714222039785</v>
      </c>
    </row>
    <row r="65" spans="1:7" x14ac:dyDescent="0.55000000000000004">
      <c r="A65" s="179" t="s">
        <v>75</v>
      </c>
      <c r="B65" s="179" t="s">
        <v>91</v>
      </c>
      <c r="C65" s="495">
        <v>84.974456245899077</v>
      </c>
      <c r="D65" s="316" t="s">
        <v>464</v>
      </c>
      <c r="E65" s="316">
        <v>100</v>
      </c>
      <c r="F65" s="494">
        <f t="shared" si="2"/>
        <v>195.27175348354419</v>
      </c>
      <c r="G65" s="494">
        <f t="shared" si="3"/>
        <v>666.29488148969472</v>
      </c>
    </row>
    <row r="66" spans="1:7" x14ac:dyDescent="0.55000000000000004">
      <c r="A66" s="179" t="s">
        <v>34</v>
      </c>
      <c r="B66" s="179" t="s">
        <v>28</v>
      </c>
      <c r="C66" s="495">
        <v>11.873355275718035</v>
      </c>
      <c r="D66" s="316" t="s">
        <v>43</v>
      </c>
      <c r="E66" s="316">
        <v>20</v>
      </c>
      <c r="F66" s="494">
        <f t="shared" ref="F66:F97" si="4">IF(D66="LNG",(C66*L$2),IF(D66="Crude",(C66*L$3),"X"))</f>
        <v>38.857942766080534</v>
      </c>
      <c r="G66" s="494">
        <f t="shared" ref="G66:G97" si="5">(F66*1000)*kWh2mmBTU</f>
        <v>132.58880461910135</v>
      </c>
    </row>
    <row r="67" spans="1:7" x14ac:dyDescent="0.55000000000000004">
      <c r="A67" s="179" t="s">
        <v>45</v>
      </c>
      <c r="B67" s="179" t="s">
        <v>28</v>
      </c>
      <c r="C67" s="495">
        <v>26.758230292300969</v>
      </c>
      <c r="D67" s="316" t="s">
        <v>43</v>
      </c>
      <c r="E67" s="316">
        <v>20</v>
      </c>
      <c r="F67" s="494">
        <f t="shared" si="4"/>
        <v>87.571689474014647</v>
      </c>
      <c r="G67" s="494">
        <f t="shared" si="5"/>
        <v>298.8070082796591</v>
      </c>
    </row>
    <row r="68" spans="1:7" x14ac:dyDescent="0.55000000000000004">
      <c r="A68" s="179" t="s">
        <v>46</v>
      </c>
      <c r="B68" s="179" t="s">
        <v>28</v>
      </c>
      <c r="C68" s="495">
        <v>30.799439103412986</v>
      </c>
      <c r="D68" s="316" t="s">
        <v>43</v>
      </c>
      <c r="E68" s="316">
        <v>20</v>
      </c>
      <c r="F68" s="494">
        <f t="shared" si="4"/>
        <v>100.79735795957883</v>
      </c>
      <c r="G68" s="494">
        <f t="shared" si="5"/>
        <v>343.93486245726592</v>
      </c>
    </row>
    <row r="69" spans="1:7" x14ac:dyDescent="0.55000000000000004">
      <c r="A69" s="179" t="s">
        <v>47</v>
      </c>
      <c r="B69" s="179" t="s">
        <v>28</v>
      </c>
      <c r="C69" s="495">
        <v>21.179169021632752</v>
      </c>
      <c r="D69" s="316" t="s">
        <v>43</v>
      </c>
      <c r="E69" s="316">
        <v>20</v>
      </c>
      <c r="F69" s="494">
        <f t="shared" si="4"/>
        <v>69.313089566081572</v>
      </c>
      <c r="G69" s="494">
        <f t="shared" si="5"/>
        <v>236.50607921646392</v>
      </c>
    </row>
    <row r="70" spans="1:7" x14ac:dyDescent="0.55000000000000004">
      <c r="A70" s="179" t="s">
        <v>48</v>
      </c>
      <c r="B70" s="179" t="s">
        <v>28</v>
      </c>
      <c r="C70" s="495">
        <v>26.758230292300969</v>
      </c>
      <c r="D70" s="316" t="s">
        <v>43</v>
      </c>
      <c r="E70" s="316">
        <v>20</v>
      </c>
      <c r="F70" s="494">
        <f t="shared" si="4"/>
        <v>87.571689474014647</v>
      </c>
      <c r="G70" s="494">
        <f t="shared" si="5"/>
        <v>298.8070082796591</v>
      </c>
    </row>
    <row r="71" spans="1:7" x14ac:dyDescent="0.55000000000000004">
      <c r="A71" s="179" t="s">
        <v>50</v>
      </c>
      <c r="B71" s="179" t="s">
        <v>28</v>
      </c>
      <c r="C71" s="495">
        <v>30.799439103412986</v>
      </c>
      <c r="D71" s="316" t="s">
        <v>43</v>
      </c>
      <c r="E71" s="316">
        <v>20</v>
      </c>
      <c r="F71" s="494">
        <f t="shared" si="4"/>
        <v>100.79735795957883</v>
      </c>
      <c r="G71" s="494">
        <f t="shared" si="5"/>
        <v>343.93486245726592</v>
      </c>
    </row>
    <row r="72" spans="1:7" x14ac:dyDescent="0.55000000000000004">
      <c r="A72" s="179" t="s">
        <v>51</v>
      </c>
      <c r="B72" s="179" t="s">
        <v>28</v>
      </c>
      <c r="C72" s="495">
        <v>21.179169021632752</v>
      </c>
      <c r="D72" s="316" t="s">
        <v>43</v>
      </c>
      <c r="E72" s="316">
        <v>20</v>
      </c>
      <c r="F72" s="494">
        <f t="shared" si="4"/>
        <v>69.313089566081572</v>
      </c>
      <c r="G72" s="494">
        <f t="shared" si="5"/>
        <v>236.50607921646392</v>
      </c>
    </row>
    <row r="73" spans="1:7" x14ac:dyDescent="0.55000000000000004">
      <c r="A73" s="179" t="s">
        <v>38</v>
      </c>
      <c r="B73" s="179" t="s">
        <v>28</v>
      </c>
      <c r="C73" s="495">
        <v>5.6583540865099433</v>
      </c>
      <c r="D73" s="316" t="s">
        <v>43</v>
      </c>
      <c r="E73" s="316">
        <v>20</v>
      </c>
      <c r="F73" s="494">
        <f t="shared" si="4"/>
        <v>18.518101592856162</v>
      </c>
      <c r="G73" s="494">
        <f t="shared" si="5"/>
        <v>63.186385568386903</v>
      </c>
    </row>
    <row r="74" spans="1:7" x14ac:dyDescent="0.55000000000000004">
      <c r="A74" s="179" t="s">
        <v>53</v>
      </c>
      <c r="B74" s="179" t="s">
        <v>28</v>
      </c>
      <c r="C74" s="495">
        <v>6.4844317433368879</v>
      </c>
      <c r="D74" s="316" t="s">
        <v>43</v>
      </c>
      <c r="E74" s="316">
        <v>20</v>
      </c>
      <c r="F74" s="494">
        <f t="shared" si="4"/>
        <v>21.221606841702354</v>
      </c>
      <c r="G74" s="494">
        <f t="shared" si="5"/>
        <v>72.411128406262534</v>
      </c>
    </row>
    <row r="75" spans="1:7" x14ac:dyDescent="0.55000000000000004">
      <c r="A75" s="179" t="s">
        <v>54</v>
      </c>
      <c r="B75" s="179" t="s">
        <v>28</v>
      </c>
      <c r="C75" s="495">
        <v>4.517918618514571</v>
      </c>
      <c r="D75" s="316" t="s">
        <v>43</v>
      </c>
      <c r="E75" s="316">
        <v>20</v>
      </c>
      <c r="F75" s="494">
        <f t="shared" si="4"/>
        <v>14.785797192397421</v>
      </c>
      <c r="G75" s="494">
        <f t="shared" si="5"/>
        <v>50.451234304450061</v>
      </c>
    </row>
    <row r="76" spans="1:7" x14ac:dyDescent="0.55000000000000004">
      <c r="A76" s="179" t="s">
        <v>34</v>
      </c>
      <c r="B76" s="179" t="s">
        <v>28</v>
      </c>
      <c r="C76" s="495">
        <v>7.1600309404908575</v>
      </c>
      <c r="D76" s="316" t="s">
        <v>43</v>
      </c>
      <c r="E76" s="316">
        <v>100</v>
      </c>
      <c r="F76" s="494">
        <f t="shared" si="4"/>
        <v>23.432641071386964</v>
      </c>
      <c r="G76" s="494">
        <f t="shared" si="5"/>
        <v>79.955490372375138</v>
      </c>
    </row>
    <row r="77" spans="1:7" x14ac:dyDescent="0.55000000000000004">
      <c r="A77" s="179" t="s">
        <v>45</v>
      </c>
      <c r="B77" s="179" t="s">
        <v>28</v>
      </c>
      <c r="C77" s="495">
        <v>15.192002580684411</v>
      </c>
      <c r="D77" s="316" t="s">
        <v>43</v>
      </c>
      <c r="E77" s="316">
        <v>100</v>
      </c>
      <c r="F77" s="494">
        <f t="shared" si="4"/>
        <v>49.71888342208161</v>
      </c>
      <c r="G77" s="494">
        <f t="shared" si="5"/>
        <v>169.64787249840262</v>
      </c>
    </row>
    <row r="78" spans="1:7" x14ac:dyDescent="0.55000000000000004">
      <c r="A78" s="179" t="s">
        <v>46</v>
      </c>
      <c r="B78" s="179" t="s">
        <v>28</v>
      </c>
      <c r="C78" s="495">
        <v>16.634910264968344</v>
      </c>
      <c r="D78" s="316" t="s">
        <v>43</v>
      </c>
      <c r="E78" s="316">
        <v>100</v>
      </c>
      <c r="F78" s="494">
        <f t="shared" si="4"/>
        <v>54.441088974820964</v>
      </c>
      <c r="G78" s="494">
        <f t="shared" si="5"/>
        <v>185.76070670510521</v>
      </c>
    </row>
    <row r="79" spans="1:7" x14ac:dyDescent="0.55000000000000004">
      <c r="A79" s="179" t="s">
        <v>47</v>
      </c>
      <c r="B79" s="179" t="s">
        <v>28</v>
      </c>
      <c r="C79" s="495">
        <v>13.200006929184553</v>
      </c>
      <c r="D79" s="316" t="s">
        <v>43</v>
      </c>
      <c r="E79" s="316">
        <v>100</v>
      </c>
      <c r="F79" s="494">
        <f t="shared" si="4"/>
        <v>43.199677079914629</v>
      </c>
      <c r="G79" s="494">
        <f t="shared" si="5"/>
        <v>147.40341706810372</v>
      </c>
    </row>
    <row r="80" spans="1:7" x14ac:dyDescent="0.55000000000000004">
      <c r="A80" s="179" t="s">
        <v>48</v>
      </c>
      <c r="B80" s="179" t="s">
        <v>28</v>
      </c>
      <c r="C80" s="495">
        <v>15.192002580684411</v>
      </c>
      <c r="D80" s="316" t="s">
        <v>43</v>
      </c>
      <c r="E80" s="316">
        <v>100</v>
      </c>
      <c r="F80" s="494">
        <f t="shared" si="4"/>
        <v>49.71888342208161</v>
      </c>
      <c r="G80" s="494">
        <f t="shared" si="5"/>
        <v>169.64787249840262</v>
      </c>
    </row>
    <row r="81" spans="1:7" x14ac:dyDescent="0.55000000000000004">
      <c r="A81" s="179" t="s">
        <v>50</v>
      </c>
      <c r="B81" s="179" t="s">
        <v>28</v>
      </c>
      <c r="C81" s="495">
        <v>16.634910264968344</v>
      </c>
      <c r="D81" s="316" t="s">
        <v>43</v>
      </c>
      <c r="E81" s="316">
        <v>100</v>
      </c>
      <c r="F81" s="494">
        <f t="shared" si="4"/>
        <v>54.441088974820964</v>
      </c>
      <c r="G81" s="494">
        <f t="shared" si="5"/>
        <v>185.76070670510521</v>
      </c>
    </row>
    <row r="82" spans="1:7" x14ac:dyDescent="0.55000000000000004">
      <c r="A82" s="179" t="s">
        <v>51</v>
      </c>
      <c r="B82" s="179" t="s">
        <v>28</v>
      </c>
      <c r="C82" s="495">
        <v>13.200006929184553</v>
      </c>
      <c r="D82" s="316" t="s">
        <v>43</v>
      </c>
      <c r="E82" s="316">
        <v>100</v>
      </c>
      <c r="F82" s="494">
        <f t="shared" si="4"/>
        <v>43.199677079914629</v>
      </c>
      <c r="G82" s="494">
        <f t="shared" si="5"/>
        <v>147.40341706810372</v>
      </c>
    </row>
    <row r="83" spans="1:7" x14ac:dyDescent="0.55000000000000004">
      <c r="A83" s="179" t="s">
        <v>38</v>
      </c>
      <c r="B83" s="179" t="s">
        <v>28</v>
      </c>
      <c r="C83" s="495">
        <v>5.6583540865099433</v>
      </c>
      <c r="D83" s="316" t="s">
        <v>43</v>
      </c>
      <c r="E83" s="316">
        <v>100</v>
      </c>
      <c r="F83" s="494">
        <f t="shared" si="4"/>
        <v>18.518101592856162</v>
      </c>
      <c r="G83" s="494">
        <f t="shared" si="5"/>
        <v>63.186385568386903</v>
      </c>
    </row>
    <row r="84" spans="1:7" x14ac:dyDescent="0.55000000000000004">
      <c r="A84" s="179" t="s">
        <v>53</v>
      </c>
      <c r="B84" s="179" t="s">
        <v>28</v>
      </c>
      <c r="C84" s="495">
        <v>6.4844317433368879</v>
      </c>
      <c r="D84" s="316" t="s">
        <v>43</v>
      </c>
      <c r="E84" s="316">
        <v>100</v>
      </c>
      <c r="F84" s="494">
        <f t="shared" si="4"/>
        <v>21.221606841702354</v>
      </c>
      <c r="G84" s="494">
        <f t="shared" si="5"/>
        <v>72.411128406262534</v>
      </c>
    </row>
    <row r="85" spans="1:7" x14ac:dyDescent="0.55000000000000004">
      <c r="A85" s="179" t="s">
        <v>54</v>
      </c>
      <c r="B85" s="179" t="s">
        <v>28</v>
      </c>
      <c r="C85" s="495">
        <v>4.517918618514571</v>
      </c>
      <c r="D85" s="316" t="s">
        <v>43</v>
      </c>
      <c r="E85" s="316">
        <v>100</v>
      </c>
      <c r="F85" s="494">
        <f t="shared" si="4"/>
        <v>14.785797192397421</v>
      </c>
      <c r="G85" s="494">
        <f t="shared" si="5"/>
        <v>50.451234304450061</v>
      </c>
    </row>
    <row r="86" spans="1:7" x14ac:dyDescent="0.55000000000000004">
      <c r="A86" s="179" t="s">
        <v>34</v>
      </c>
      <c r="B86" s="179" t="s">
        <v>29</v>
      </c>
      <c r="C86" s="495">
        <v>2.0194475155941065</v>
      </c>
      <c r="D86" s="316" t="s">
        <v>43</v>
      </c>
      <c r="E86" s="316">
        <v>20</v>
      </c>
      <c r="F86" s="494">
        <f t="shared" si="4"/>
        <v>6.6090480877414652</v>
      </c>
      <c r="G86" s="494">
        <f t="shared" si="5"/>
        <v>22.551008191527753</v>
      </c>
    </row>
    <row r="87" spans="1:7" x14ac:dyDescent="0.55000000000000004">
      <c r="A87" s="179" t="s">
        <v>45</v>
      </c>
      <c r="B87" s="179" t="s">
        <v>29</v>
      </c>
      <c r="C87" s="495">
        <v>2.2118503841835055</v>
      </c>
      <c r="D87" s="316" t="s">
        <v>43</v>
      </c>
      <c r="E87" s="316">
        <v>20</v>
      </c>
      <c r="F87" s="494">
        <f t="shared" si="4"/>
        <v>7.2387251657083294</v>
      </c>
      <c r="G87" s="494">
        <f t="shared" si="5"/>
        <v>24.699555570020287</v>
      </c>
    </row>
    <row r="88" spans="1:7" x14ac:dyDescent="0.55000000000000004">
      <c r="A88" s="179" t="s">
        <v>46</v>
      </c>
      <c r="B88" s="179" t="s">
        <v>29</v>
      </c>
      <c r="C88" s="495">
        <v>2.2806218235100064</v>
      </c>
      <c r="D88" s="316" t="s">
        <v>43</v>
      </c>
      <c r="E88" s="316">
        <v>20</v>
      </c>
      <c r="F88" s="494">
        <f t="shared" si="4"/>
        <v>7.4637935302299612</v>
      </c>
      <c r="G88" s="494">
        <f t="shared" si="5"/>
        <v>25.467520708811634</v>
      </c>
    </row>
    <row r="89" spans="1:7" x14ac:dyDescent="0.55000000000000004">
      <c r="A89" s="179" t="s">
        <v>47</v>
      </c>
      <c r="B89" s="179" t="s">
        <v>29</v>
      </c>
      <c r="C89" s="495">
        <v>2.1169084765494346</v>
      </c>
      <c r="D89" s="316" t="s">
        <v>43</v>
      </c>
      <c r="E89" s="316">
        <v>20</v>
      </c>
      <c r="F89" s="494">
        <f t="shared" si="4"/>
        <v>6.9280086810014287</v>
      </c>
      <c r="G89" s="494">
        <f t="shared" si="5"/>
        <v>23.639346913819914</v>
      </c>
    </row>
    <row r="90" spans="1:7" x14ac:dyDescent="0.55000000000000004">
      <c r="A90" s="179" t="s">
        <v>48</v>
      </c>
      <c r="B90" s="179" t="s">
        <v>29</v>
      </c>
      <c r="C90" s="495">
        <v>2.1251326661399319</v>
      </c>
      <c r="D90" s="316" t="s">
        <v>43</v>
      </c>
      <c r="E90" s="316">
        <v>20</v>
      </c>
      <c r="F90" s="494">
        <f t="shared" si="4"/>
        <v>6.9549239952478157</v>
      </c>
      <c r="G90" s="494">
        <f t="shared" si="5"/>
        <v>23.731185778356792</v>
      </c>
    </row>
    <row r="91" spans="1:7" x14ac:dyDescent="0.55000000000000004">
      <c r="A91" s="179" t="s">
        <v>50</v>
      </c>
      <c r="B91" s="179" t="s">
        <v>29</v>
      </c>
      <c r="C91" s="495">
        <v>2.4204212156051557</v>
      </c>
      <c r="D91" s="316" t="s">
        <v>43</v>
      </c>
      <c r="E91" s="316">
        <v>20</v>
      </c>
      <c r="F91" s="494">
        <f t="shared" si="4"/>
        <v>7.9213151532774653</v>
      </c>
      <c r="G91" s="494">
        <f t="shared" si="5"/>
        <v>27.028649290745012</v>
      </c>
    </row>
    <row r="92" spans="1:7" x14ac:dyDescent="0.55000000000000004">
      <c r="A92" s="179" t="s">
        <v>51</v>
      </c>
      <c r="B92" s="179" t="s">
        <v>29</v>
      </c>
      <c r="C92" s="495">
        <v>1.7174742186320189</v>
      </c>
      <c r="D92" s="316" t="s">
        <v>43</v>
      </c>
      <c r="E92" s="316">
        <v>20</v>
      </c>
      <c r="F92" s="494">
        <f t="shared" si="4"/>
        <v>5.6207797492849769</v>
      </c>
      <c r="G92" s="494">
        <f t="shared" si="5"/>
        <v>19.17889664080429</v>
      </c>
    </row>
    <row r="93" spans="1:7" x14ac:dyDescent="0.55000000000000004">
      <c r="A93" s="179" t="s">
        <v>38</v>
      </c>
      <c r="B93" s="179" t="s">
        <v>29</v>
      </c>
      <c r="C93" s="495">
        <v>2.1251326661399319</v>
      </c>
      <c r="D93" s="316" t="s">
        <v>43</v>
      </c>
      <c r="E93" s="316">
        <v>20</v>
      </c>
      <c r="F93" s="494">
        <f t="shared" si="4"/>
        <v>6.9549239952478157</v>
      </c>
      <c r="G93" s="494">
        <f t="shared" si="5"/>
        <v>23.731185778356792</v>
      </c>
    </row>
    <row r="94" spans="1:7" x14ac:dyDescent="0.55000000000000004">
      <c r="A94" s="179" t="s">
        <v>53</v>
      </c>
      <c r="B94" s="179" t="s">
        <v>29</v>
      </c>
      <c r="C94" s="495">
        <v>2.4204212156051557</v>
      </c>
      <c r="D94" s="316" t="s">
        <v>43</v>
      </c>
      <c r="E94" s="316">
        <v>20</v>
      </c>
      <c r="F94" s="494">
        <f t="shared" si="4"/>
        <v>7.9213151532774653</v>
      </c>
      <c r="G94" s="494">
        <f t="shared" si="5"/>
        <v>27.028649290745012</v>
      </c>
    </row>
    <row r="95" spans="1:7" x14ac:dyDescent="0.55000000000000004">
      <c r="A95" s="179" t="s">
        <v>54</v>
      </c>
      <c r="B95" s="179" t="s">
        <v>29</v>
      </c>
      <c r="C95" s="495">
        <v>1.7174742186320189</v>
      </c>
      <c r="D95" s="316" t="s">
        <v>43</v>
      </c>
      <c r="E95" s="316">
        <v>20</v>
      </c>
      <c r="F95" s="494">
        <f t="shared" si="4"/>
        <v>5.6207797492849769</v>
      </c>
      <c r="G95" s="494">
        <f t="shared" si="5"/>
        <v>19.17889664080429</v>
      </c>
    </row>
    <row r="96" spans="1:7" x14ac:dyDescent="0.55000000000000004">
      <c r="A96" s="179" t="s">
        <v>34</v>
      </c>
      <c r="B96" s="179" t="s">
        <v>29</v>
      </c>
      <c r="C96" s="495">
        <v>1.9114330401548154</v>
      </c>
      <c r="D96" s="316" t="s">
        <v>43</v>
      </c>
      <c r="E96" s="316">
        <v>100</v>
      </c>
      <c r="F96" s="494">
        <f t="shared" si="4"/>
        <v>6.2555489961147002</v>
      </c>
      <c r="G96" s="494">
        <f t="shared" si="5"/>
        <v>21.344819220719852</v>
      </c>
    </row>
    <row r="97" spans="1:7" x14ac:dyDescent="0.55000000000000004">
      <c r="A97" s="179" t="s">
        <v>45</v>
      </c>
      <c r="B97" s="179" t="s">
        <v>29</v>
      </c>
      <c r="C97" s="495">
        <v>2.1679922273469101</v>
      </c>
      <c r="D97" s="316" t="s">
        <v>43</v>
      </c>
      <c r="E97" s="316">
        <v>100</v>
      </c>
      <c r="F97" s="494">
        <f t="shared" si="4"/>
        <v>7.0951905279747551</v>
      </c>
      <c r="G97" s="494">
        <f t="shared" si="5"/>
        <v>24.209795055597407</v>
      </c>
    </row>
    <row r="98" spans="1:7" x14ac:dyDescent="0.55000000000000004">
      <c r="A98" s="179" t="s">
        <v>46</v>
      </c>
      <c r="B98" s="179" t="s">
        <v>29</v>
      </c>
      <c r="C98" s="495">
        <v>2.2548114313302534</v>
      </c>
      <c r="D98" s="316" t="s">
        <v>43</v>
      </c>
      <c r="E98" s="316">
        <v>100</v>
      </c>
      <c r="F98" s="494">
        <f t="shared" ref="F98:F129" si="6">IF(D98="LNG",(C98*L$2),IF(D98="Crude",(C98*L$3),"X"))</f>
        <v>7.3793238315810861</v>
      </c>
      <c r="G98" s="494">
        <f t="shared" ref="G98:G129" si="7">(F98*1000)*kWh2mmBTU</f>
        <v>25.179298132598298</v>
      </c>
    </row>
    <row r="99" spans="1:7" x14ac:dyDescent="0.55000000000000004">
      <c r="A99" s="179" t="s">
        <v>47</v>
      </c>
      <c r="B99" s="179" t="s">
        <v>29</v>
      </c>
      <c r="C99" s="495">
        <v>2.0481346101998184</v>
      </c>
      <c r="D99" s="316" t="s">
        <v>43</v>
      </c>
      <c r="E99" s="316">
        <v>100</v>
      </c>
      <c r="F99" s="494">
        <f t="shared" si="6"/>
        <v>6.7029323735585988</v>
      </c>
      <c r="G99" s="494">
        <f t="shared" si="7"/>
        <v>22.871354672656384</v>
      </c>
    </row>
    <row r="100" spans="1:7" x14ac:dyDescent="0.55000000000000004">
      <c r="A100" s="179" t="s">
        <v>48</v>
      </c>
      <c r="B100" s="179" t="s">
        <v>29</v>
      </c>
      <c r="C100" s="495">
        <v>2.0120914399212166</v>
      </c>
      <c r="D100" s="316" t="s">
        <v>43</v>
      </c>
      <c r="E100" s="316">
        <v>100</v>
      </c>
      <c r="F100" s="494">
        <f t="shared" si="6"/>
        <v>6.5849738508604476</v>
      </c>
      <c r="G100" s="494">
        <f t="shared" si="7"/>
        <v>22.468863485376261</v>
      </c>
    </row>
    <row r="101" spans="1:7" x14ac:dyDescent="0.55000000000000004">
      <c r="A101" s="179" t="s">
        <v>50</v>
      </c>
      <c r="B101" s="179" t="s">
        <v>29</v>
      </c>
      <c r="C101" s="495">
        <v>2.2916728383686524</v>
      </c>
      <c r="D101" s="316" t="s">
        <v>43</v>
      </c>
      <c r="E101" s="316">
        <v>100</v>
      </c>
      <c r="F101" s="494">
        <f t="shared" si="6"/>
        <v>7.4999601986158195</v>
      </c>
      <c r="G101" s="494">
        <f t="shared" si="7"/>
        <v>25.590926504049005</v>
      </c>
    </row>
    <row r="102" spans="1:7" x14ac:dyDescent="0.55000000000000004">
      <c r="A102" s="179" t="s">
        <v>51</v>
      </c>
      <c r="B102" s="179" t="s">
        <v>29</v>
      </c>
      <c r="C102" s="495">
        <v>1.6261173848839228</v>
      </c>
      <c r="D102" s="316" t="s">
        <v>43</v>
      </c>
      <c r="E102" s="316">
        <v>100</v>
      </c>
      <c r="F102" s="494">
        <f t="shared" si="6"/>
        <v>5.3217961397964473</v>
      </c>
      <c r="G102" s="494">
        <f t="shared" si="7"/>
        <v>18.158722216712235</v>
      </c>
    </row>
    <row r="103" spans="1:7" x14ac:dyDescent="0.55000000000000004">
      <c r="A103" s="179" t="s">
        <v>38</v>
      </c>
      <c r="B103" s="179" t="s">
        <v>29</v>
      </c>
      <c r="C103" s="495">
        <v>2.0120914399212166</v>
      </c>
      <c r="D103" s="316" t="s">
        <v>43</v>
      </c>
      <c r="E103" s="316">
        <v>100</v>
      </c>
      <c r="F103" s="494">
        <f t="shared" si="6"/>
        <v>6.5849738508604476</v>
      </c>
      <c r="G103" s="494">
        <f t="shared" si="7"/>
        <v>22.468863485376261</v>
      </c>
    </row>
    <row r="104" spans="1:7" x14ac:dyDescent="0.55000000000000004">
      <c r="A104" s="179" t="s">
        <v>53</v>
      </c>
      <c r="B104" s="179" t="s">
        <v>29</v>
      </c>
      <c r="C104" s="495">
        <v>2.2916728383686524</v>
      </c>
      <c r="D104" s="316" t="s">
        <v>43</v>
      </c>
      <c r="E104" s="316">
        <v>100</v>
      </c>
      <c r="F104" s="494">
        <f t="shared" si="6"/>
        <v>7.4999601986158195</v>
      </c>
      <c r="G104" s="494">
        <f t="shared" si="7"/>
        <v>25.590926504049005</v>
      </c>
    </row>
    <row r="105" spans="1:7" x14ac:dyDescent="0.55000000000000004">
      <c r="A105" s="179" t="s">
        <v>54</v>
      </c>
      <c r="B105" s="179" t="s">
        <v>29</v>
      </c>
      <c r="C105" s="495">
        <v>1.6261173848839228</v>
      </c>
      <c r="D105" s="316" t="s">
        <v>43</v>
      </c>
      <c r="E105" s="316">
        <v>100</v>
      </c>
      <c r="F105" s="494">
        <f t="shared" si="6"/>
        <v>5.3217961397964473</v>
      </c>
      <c r="G105" s="494">
        <f t="shared" si="7"/>
        <v>18.158722216712235</v>
      </c>
    </row>
    <row r="106" spans="1:7" x14ac:dyDescent="0.55000000000000004">
      <c r="A106" s="179" t="s">
        <v>34</v>
      </c>
      <c r="B106" s="179" t="s">
        <v>30</v>
      </c>
      <c r="C106" s="495">
        <v>5.6326918303044309</v>
      </c>
      <c r="D106" s="316" t="s">
        <v>43</v>
      </c>
      <c r="E106" s="316">
        <v>20</v>
      </c>
      <c r="F106" s="494">
        <f t="shared" si="6"/>
        <v>18.43411669897182</v>
      </c>
      <c r="G106" s="494">
        <f t="shared" si="7"/>
        <v>62.899817214698679</v>
      </c>
    </row>
    <row r="107" spans="1:7" x14ac:dyDescent="0.55000000000000004">
      <c r="A107" s="179" t="s">
        <v>45</v>
      </c>
      <c r="B107" s="179" t="s">
        <v>30</v>
      </c>
      <c r="C107" s="495">
        <v>7.2941391246223324</v>
      </c>
      <c r="D107" s="316" t="s">
        <v>43</v>
      </c>
      <c r="E107" s="316">
        <v>20</v>
      </c>
      <c r="F107" s="494">
        <f t="shared" si="6"/>
        <v>23.871537071921967</v>
      </c>
      <c r="G107" s="494">
        <f t="shared" si="7"/>
        <v>81.453065692132867</v>
      </c>
    </row>
    <row r="108" spans="1:7" x14ac:dyDescent="0.55000000000000004">
      <c r="A108" s="179" t="s">
        <v>46</v>
      </c>
      <c r="B108" s="179" t="s">
        <v>30</v>
      </c>
      <c r="C108" s="495">
        <v>6.689842740300552</v>
      </c>
      <c r="D108" s="316" t="s">
        <v>43</v>
      </c>
      <c r="E108" s="316">
        <v>20</v>
      </c>
      <c r="F108" s="494">
        <f t="shared" si="6"/>
        <v>21.893855635593088</v>
      </c>
      <c r="G108" s="494">
        <f t="shared" si="7"/>
        <v>74.704936509413329</v>
      </c>
    </row>
    <row r="109" spans="1:7" x14ac:dyDescent="0.55000000000000004">
      <c r="A109" s="179" t="s">
        <v>47</v>
      </c>
      <c r="B109" s="179" t="s">
        <v>30</v>
      </c>
      <c r="C109" s="495">
        <v>8.1283960787555092</v>
      </c>
      <c r="D109" s="316" t="s">
        <v>43</v>
      </c>
      <c r="E109" s="316">
        <v>20</v>
      </c>
      <c r="F109" s="494">
        <f t="shared" si="6"/>
        <v>26.601810715986847</v>
      </c>
      <c r="G109" s="494">
        <f t="shared" si="7"/>
        <v>90.769146086013038</v>
      </c>
    </row>
    <row r="110" spans="1:7" x14ac:dyDescent="0.55000000000000004">
      <c r="A110" s="179" t="s">
        <v>48</v>
      </c>
      <c r="B110" s="179" t="s">
        <v>30</v>
      </c>
      <c r="C110" s="495">
        <v>5.6326918303044309</v>
      </c>
      <c r="D110" s="316" t="s">
        <v>43</v>
      </c>
      <c r="E110" s="316">
        <v>20</v>
      </c>
      <c r="F110" s="494">
        <f t="shared" si="6"/>
        <v>18.43411669897182</v>
      </c>
      <c r="G110" s="494">
        <f t="shared" si="7"/>
        <v>62.899817214698679</v>
      </c>
    </row>
    <row r="111" spans="1:7" x14ac:dyDescent="0.55000000000000004">
      <c r="A111" s="179" t="s">
        <v>50</v>
      </c>
      <c r="B111" s="179" t="s">
        <v>30</v>
      </c>
      <c r="C111" s="495">
        <v>5.6326918303044309</v>
      </c>
      <c r="D111" s="316" t="s">
        <v>43</v>
      </c>
      <c r="E111" s="316">
        <v>20</v>
      </c>
      <c r="F111" s="494">
        <f t="shared" si="6"/>
        <v>18.43411669897182</v>
      </c>
      <c r="G111" s="494">
        <f t="shared" si="7"/>
        <v>62.899817214698679</v>
      </c>
    </row>
    <row r="112" spans="1:7" x14ac:dyDescent="0.55000000000000004">
      <c r="A112" s="179" t="s">
        <v>51</v>
      </c>
      <c r="B112" s="179" t="s">
        <v>30</v>
      </c>
      <c r="C112" s="495">
        <v>5.6326918303044309</v>
      </c>
      <c r="D112" s="316" t="s">
        <v>43</v>
      </c>
      <c r="E112" s="316">
        <v>20</v>
      </c>
      <c r="F112" s="494">
        <f t="shared" si="6"/>
        <v>18.43411669897182</v>
      </c>
      <c r="G112" s="494">
        <f t="shared" si="7"/>
        <v>62.899817214698679</v>
      </c>
    </row>
    <row r="113" spans="1:7" x14ac:dyDescent="0.55000000000000004">
      <c r="A113" s="179" t="s">
        <v>38</v>
      </c>
      <c r="B113" s="179" t="s">
        <v>30</v>
      </c>
      <c r="C113" s="495">
        <v>5.6326918303044309</v>
      </c>
      <c r="D113" s="316" t="s">
        <v>43</v>
      </c>
      <c r="E113" s="316">
        <v>20</v>
      </c>
      <c r="F113" s="494">
        <f t="shared" si="6"/>
        <v>18.43411669897182</v>
      </c>
      <c r="G113" s="494">
        <f t="shared" si="7"/>
        <v>62.899817214698679</v>
      </c>
    </row>
    <row r="114" spans="1:7" x14ac:dyDescent="0.55000000000000004">
      <c r="A114" s="179" t="s">
        <v>53</v>
      </c>
      <c r="B114" s="179" t="s">
        <v>30</v>
      </c>
      <c r="C114" s="495">
        <v>5.6326918303044309</v>
      </c>
      <c r="D114" s="316" t="s">
        <v>43</v>
      </c>
      <c r="E114" s="316">
        <v>20</v>
      </c>
      <c r="F114" s="494">
        <f t="shared" si="6"/>
        <v>18.43411669897182</v>
      </c>
      <c r="G114" s="494">
        <f t="shared" si="7"/>
        <v>62.899817214698679</v>
      </c>
    </row>
    <row r="115" spans="1:7" x14ac:dyDescent="0.55000000000000004">
      <c r="A115" s="179" t="s">
        <v>54</v>
      </c>
      <c r="B115" s="179" t="s">
        <v>30</v>
      </c>
      <c r="C115" s="495">
        <v>5.6326918303044309</v>
      </c>
      <c r="D115" s="316" t="s">
        <v>43</v>
      </c>
      <c r="E115" s="316">
        <v>20</v>
      </c>
      <c r="F115" s="494">
        <f t="shared" si="6"/>
        <v>18.43411669897182</v>
      </c>
      <c r="G115" s="494">
        <f t="shared" si="7"/>
        <v>62.899817214698679</v>
      </c>
    </row>
    <row r="116" spans="1:7" x14ac:dyDescent="0.55000000000000004">
      <c r="A116" s="179" t="s">
        <v>34</v>
      </c>
      <c r="B116" s="179" t="s">
        <v>30</v>
      </c>
      <c r="C116" s="495">
        <v>5.1415219215438395</v>
      </c>
      <c r="D116" s="316" t="s">
        <v>43</v>
      </c>
      <c r="E116" s="316">
        <v>100</v>
      </c>
      <c r="F116" s="494">
        <f t="shared" si="6"/>
        <v>16.826664402646436</v>
      </c>
      <c r="G116" s="494">
        <f t="shared" si="7"/>
        <v>57.414962297519288</v>
      </c>
    </row>
    <row r="117" spans="1:7" x14ac:dyDescent="0.55000000000000004">
      <c r="A117" s="179" t="s">
        <v>45</v>
      </c>
      <c r="B117" s="179" t="s">
        <v>30</v>
      </c>
      <c r="C117" s="495">
        <v>7.1826580235439055</v>
      </c>
      <c r="D117" s="316" t="s">
        <v>43</v>
      </c>
      <c r="E117" s="316">
        <v>100</v>
      </c>
      <c r="F117" s="494">
        <f t="shared" si="6"/>
        <v>23.506692750783504</v>
      </c>
      <c r="G117" s="494">
        <f t="shared" si="7"/>
        <v>80.208165191274574</v>
      </c>
    </row>
    <row r="118" spans="1:7" x14ac:dyDescent="0.55000000000000004">
      <c r="A118" s="179" t="s">
        <v>46</v>
      </c>
      <c r="B118" s="179" t="s">
        <v>30</v>
      </c>
      <c r="C118" s="495">
        <v>6.5648997963769578</v>
      </c>
      <c r="D118" s="316" t="s">
        <v>43</v>
      </c>
      <c r="E118" s="316">
        <v>100</v>
      </c>
      <c r="F118" s="494">
        <f t="shared" si="6"/>
        <v>21.484954726686777</v>
      </c>
      <c r="G118" s="494">
        <f t="shared" si="7"/>
        <v>73.309708690845511</v>
      </c>
    </row>
    <row r="119" spans="1:7" x14ac:dyDescent="0.55000000000000004">
      <c r="A119" s="179" t="s">
        <v>47</v>
      </c>
      <c r="B119" s="179" t="s">
        <v>30</v>
      </c>
      <c r="C119" s="495">
        <v>8.0354996263700151</v>
      </c>
      <c r="D119" s="316" t="s">
        <v>43</v>
      </c>
      <c r="E119" s="316">
        <v>100</v>
      </c>
      <c r="F119" s="494">
        <f t="shared" si="6"/>
        <v>26.297788394903801</v>
      </c>
      <c r="G119" s="494">
        <f t="shared" si="7"/>
        <v>89.731778864269302</v>
      </c>
    </row>
    <row r="120" spans="1:7" x14ac:dyDescent="0.55000000000000004">
      <c r="A120" s="179" t="s">
        <v>48</v>
      </c>
      <c r="B120" s="179" t="s">
        <v>30</v>
      </c>
      <c r="C120" s="495">
        <v>5.1415219215438395</v>
      </c>
      <c r="D120" s="316" t="s">
        <v>43</v>
      </c>
      <c r="E120" s="316">
        <v>100</v>
      </c>
      <c r="F120" s="494">
        <f t="shared" si="6"/>
        <v>16.826664402646436</v>
      </c>
      <c r="G120" s="494">
        <f t="shared" si="7"/>
        <v>57.414962297519288</v>
      </c>
    </row>
    <row r="121" spans="1:7" x14ac:dyDescent="0.55000000000000004">
      <c r="A121" s="179" t="s">
        <v>50</v>
      </c>
      <c r="B121" s="179" t="s">
        <v>30</v>
      </c>
      <c r="C121" s="495">
        <v>5.1415219215438395</v>
      </c>
      <c r="D121" s="316" t="s">
        <v>43</v>
      </c>
      <c r="E121" s="316">
        <v>100</v>
      </c>
      <c r="F121" s="494">
        <f t="shared" si="6"/>
        <v>16.826664402646436</v>
      </c>
      <c r="G121" s="494">
        <f t="shared" si="7"/>
        <v>57.414962297519288</v>
      </c>
    </row>
    <row r="122" spans="1:7" x14ac:dyDescent="0.55000000000000004">
      <c r="A122" s="179" t="s">
        <v>51</v>
      </c>
      <c r="B122" s="179" t="s">
        <v>30</v>
      </c>
      <c r="C122" s="495">
        <v>5.1415219215438395</v>
      </c>
      <c r="D122" s="316" t="s">
        <v>43</v>
      </c>
      <c r="E122" s="316">
        <v>100</v>
      </c>
      <c r="F122" s="494">
        <f t="shared" si="6"/>
        <v>16.826664402646436</v>
      </c>
      <c r="G122" s="494">
        <f t="shared" si="7"/>
        <v>57.414962297519288</v>
      </c>
    </row>
    <row r="123" spans="1:7" x14ac:dyDescent="0.55000000000000004">
      <c r="A123" s="179" t="s">
        <v>38</v>
      </c>
      <c r="B123" s="179" t="s">
        <v>30</v>
      </c>
      <c r="C123" s="495">
        <v>5.1415219215438395</v>
      </c>
      <c r="D123" s="316" t="s">
        <v>43</v>
      </c>
      <c r="E123" s="316">
        <v>100</v>
      </c>
      <c r="F123" s="494">
        <f t="shared" si="6"/>
        <v>16.826664402646436</v>
      </c>
      <c r="G123" s="494">
        <f t="shared" si="7"/>
        <v>57.414962297519288</v>
      </c>
    </row>
    <row r="124" spans="1:7" x14ac:dyDescent="0.55000000000000004">
      <c r="A124" s="179" t="s">
        <v>53</v>
      </c>
      <c r="B124" s="179" t="s">
        <v>30</v>
      </c>
      <c r="C124" s="495">
        <v>5.1415219215438395</v>
      </c>
      <c r="D124" s="316" t="s">
        <v>43</v>
      </c>
      <c r="E124" s="316">
        <v>100</v>
      </c>
      <c r="F124" s="494">
        <f t="shared" si="6"/>
        <v>16.826664402646436</v>
      </c>
      <c r="G124" s="494">
        <f t="shared" si="7"/>
        <v>57.414962297519288</v>
      </c>
    </row>
    <row r="125" spans="1:7" x14ac:dyDescent="0.55000000000000004">
      <c r="A125" s="179" t="s">
        <v>54</v>
      </c>
      <c r="B125" s="179" t="s">
        <v>30</v>
      </c>
      <c r="C125" s="495">
        <v>5.1415219215438395</v>
      </c>
      <c r="D125" s="316" t="s">
        <v>43</v>
      </c>
      <c r="E125" s="316">
        <v>100</v>
      </c>
      <c r="F125" s="494">
        <f t="shared" si="6"/>
        <v>16.826664402646436</v>
      </c>
      <c r="G125" s="494">
        <f t="shared" si="7"/>
        <v>57.414962297519288</v>
      </c>
    </row>
    <row r="126" spans="1:7" x14ac:dyDescent="0.55000000000000004">
      <c r="A126" s="179" t="s">
        <v>34</v>
      </c>
      <c r="B126" s="179" t="s">
        <v>31</v>
      </c>
      <c r="C126" s="495">
        <v>85.624142342303202</v>
      </c>
      <c r="D126" s="316" t="s">
        <v>43</v>
      </c>
      <c r="E126" s="316">
        <v>20</v>
      </c>
      <c r="F126" s="494">
        <f t="shared" si="6"/>
        <v>280.22222406974521</v>
      </c>
      <c r="G126" s="494">
        <f t="shared" si="7"/>
        <v>956.15791965049323</v>
      </c>
    </row>
    <row r="127" spans="1:7" x14ac:dyDescent="0.55000000000000004">
      <c r="A127" s="179" t="s">
        <v>45</v>
      </c>
      <c r="B127" s="179" t="s">
        <v>31</v>
      </c>
      <c r="C127" s="495">
        <v>76.323631574386681</v>
      </c>
      <c r="D127" s="316" t="s">
        <v>43</v>
      </c>
      <c r="E127" s="316">
        <v>20</v>
      </c>
      <c r="F127" s="494">
        <f t="shared" si="6"/>
        <v>249.78443233162503</v>
      </c>
      <c r="G127" s="494">
        <f t="shared" si="7"/>
        <v>852.29986298246683</v>
      </c>
    </row>
    <row r="128" spans="1:7" x14ac:dyDescent="0.55000000000000004">
      <c r="A128" s="179" t="s">
        <v>46</v>
      </c>
      <c r="B128" s="179" t="s">
        <v>31</v>
      </c>
      <c r="C128" s="495">
        <v>78.251297428274043</v>
      </c>
      <c r="D128" s="316" t="s">
        <v>43</v>
      </c>
      <c r="E128" s="316">
        <v>20</v>
      </c>
      <c r="F128" s="494">
        <f t="shared" si="6"/>
        <v>256.0931064749542</v>
      </c>
      <c r="G128" s="494">
        <f t="shared" si="7"/>
        <v>873.82595273021343</v>
      </c>
    </row>
    <row r="129" spans="1:7" x14ac:dyDescent="0.55000000000000004">
      <c r="A129" s="179" t="s">
        <v>47</v>
      </c>
      <c r="B129" s="179" t="s">
        <v>31</v>
      </c>
      <c r="C129" s="495">
        <v>73.662406576895592</v>
      </c>
      <c r="D129" s="316" t="s">
        <v>43</v>
      </c>
      <c r="E129" s="316">
        <v>20</v>
      </c>
      <c r="F129" s="494">
        <f t="shared" si="6"/>
        <v>241.07503837862401</v>
      </c>
      <c r="G129" s="494">
        <f t="shared" si="7"/>
        <v>822.58217720232199</v>
      </c>
    </row>
    <row r="130" spans="1:7" x14ac:dyDescent="0.55000000000000004">
      <c r="A130" s="179" t="s">
        <v>48</v>
      </c>
      <c r="B130" s="179" t="s">
        <v>31</v>
      </c>
      <c r="C130" s="495">
        <v>85.624142342303216</v>
      </c>
      <c r="D130" s="316" t="s">
        <v>43</v>
      </c>
      <c r="E130" s="316">
        <v>20</v>
      </c>
      <c r="F130" s="494">
        <f t="shared" ref="F130:F165" si="8">IF(D130="LNG",(C130*L$2),IF(D130="Crude",(C130*L$3),"X"))</f>
        <v>280.22222406974527</v>
      </c>
      <c r="G130" s="494">
        <f t="shared" ref="G130:G161" si="9">(F130*1000)*kWh2mmBTU</f>
        <v>956.15791965049334</v>
      </c>
    </row>
    <row r="131" spans="1:7" x14ac:dyDescent="0.55000000000000004">
      <c r="A131" s="179" t="s">
        <v>50</v>
      </c>
      <c r="B131" s="179" t="s">
        <v>31</v>
      </c>
      <c r="C131" s="495">
        <v>85.624142342303202</v>
      </c>
      <c r="D131" s="316" t="s">
        <v>43</v>
      </c>
      <c r="E131" s="316">
        <v>20</v>
      </c>
      <c r="F131" s="494">
        <f t="shared" si="8"/>
        <v>280.22222406974521</v>
      </c>
      <c r="G131" s="494">
        <f t="shared" si="9"/>
        <v>956.15791965049323</v>
      </c>
    </row>
    <row r="132" spans="1:7" x14ac:dyDescent="0.55000000000000004">
      <c r="A132" s="179" t="s">
        <v>51</v>
      </c>
      <c r="B132" s="179" t="s">
        <v>31</v>
      </c>
      <c r="C132" s="495">
        <v>85.624142342303202</v>
      </c>
      <c r="D132" s="316" t="s">
        <v>43</v>
      </c>
      <c r="E132" s="316">
        <v>20</v>
      </c>
      <c r="F132" s="494">
        <f t="shared" si="8"/>
        <v>280.22222406974521</v>
      </c>
      <c r="G132" s="494">
        <f t="shared" si="9"/>
        <v>956.15791965049323</v>
      </c>
    </row>
    <row r="133" spans="1:7" x14ac:dyDescent="0.55000000000000004">
      <c r="A133" s="179" t="s">
        <v>38</v>
      </c>
      <c r="B133" s="179" t="s">
        <v>31</v>
      </c>
      <c r="C133" s="495">
        <v>85.624142342303216</v>
      </c>
      <c r="D133" s="316" t="s">
        <v>43</v>
      </c>
      <c r="E133" s="316">
        <v>20</v>
      </c>
      <c r="F133" s="494">
        <f t="shared" si="8"/>
        <v>280.22222406974527</v>
      </c>
      <c r="G133" s="494">
        <f t="shared" si="9"/>
        <v>956.15791965049334</v>
      </c>
    </row>
    <row r="134" spans="1:7" x14ac:dyDescent="0.55000000000000004">
      <c r="A134" s="179" t="s">
        <v>53</v>
      </c>
      <c r="B134" s="179" t="s">
        <v>31</v>
      </c>
      <c r="C134" s="495">
        <v>85.624142342303202</v>
      </c>
      <c r="D134" s="316" t="s">
        <v>43</v>
      </c>
      <c r="E134" s="316">
        <v>20</v>
      </c>
      <c r="F134" s="494">
        <f t="shared" si="8"/>
        <v>280.22222406974521</v>
      </c>
      <c r="G134" s="494">
        <f t="shared" si="9"/>
        <v>956.15791965049323</v>
      </c>
    </row>
    <row r="135" spans="1:7" x14ac:dyDescent="0.55000000000000004">
      <c r="A135" s="179" t="s">
        <v>54</v>
      </c>
      <c r="B135" s="179" t="s">
        <v>31</v>
      </c>
      <c r="C135" s="495">
        <v>85.624142342303202</v>
      </c>
      <c r="D135" s="316" t="s">
        <v>43</v>
      </c>
      <c r="E135" s="316">
        <v>20</v>
      </c>
      <c r="F135" s="494">
        <f t="shared" si="8"/>
        <v>280.22222406974521</v>
      </c>
      <c r="G135" s="494">
        <f t="shared" si="9"/>
        <v>956.15791965049323</v>
      </c>
    </row>
    <row r="136" spans="1:7" x14ac:dyDescent="0.55000000000000004">
      <c r="A136" s="179" t="s">
        <v>34</v>
      </c>
      <c r="B136" s="179" t="s">
        <v>31</v>
      </c>
      <c r="C136" s="495">
        <v>85.456231453950437</v>
      </c>
      <c r="D136" s="316" t="s">
        <v>43</v>
      </c>
      <c r="E136" s="316">
        <v>100</v>
      </c>
      <c r="F136" s="494">
        <f t="shared" si="8"/>
        <v>279.67270192222242</v>
      </c>
      <c r="G136" s="494">
        <f t="shared" si="9"/>
        <v>954.28287224794838</v>
      </c>
    </row>
    <row r="137" spans="1:7" x14ac:dyDescent="0.55000000000000004">
      <c r="A137" s="179" t="s">
        <v>45</v>
      </c>
      <c r="B137" s="179" t="s">
        <v>31</v>
      </c>
      <c r="C137" s="495">
        <v>76.293395840855894</v>
      </c>
      <c r="D137" s="316" t="s">
        <v>43</v>
      </c>
      <c r="E137" s="316">
        <v>100</v>
      </c>
      <c r="F137" s="494">
        <f t="shared" si="8"/>
        <v>249.68547981350807</v>
      </c>
      <c r="G137" s="494">
        <f t="shared" si="9"/>
        <v>851.96222297485872</v>
      </c>
    </row>
    <row r="138" spans="1:7" x14ac:dyDescent="0.55000000000000004">
      <c r="A138" s="179" t="s">
        <v>46</v>
      </c>
      <c r="B138" s="179" t="s">
        <v>31</v>
      </c>
      <c r="C138" s="495">
        <v>78.227164878471925</v>
      </c>
      <c r="D138" s="316" t="s">
        <v>43</v>
      </c>
      <c r="E138" s="316">
        <v>100</v>
      </c>
      <c r="F138" s="494">
        <f t="shared" si="8"/>
        <v>256.01412785288528</v>
      </c>
      <c r="G138" s="494">
        <f t="shared" si="9"/>
        <v>873.55646648505581</v>
      </c>
    </row>
    <row r="139" spans="1:7" x14ac:dyDescent="0.55000000000000004">
      <c r="A139" s="179" t="s">
        <v>47</v>
      </c>
      <c r="B139" s="179" t="s">
        <v>31</v>
      </c>
      <c r="C139" s="495">
        <v>73.623745137700993</v>
      </c>
      <c r="D139" s="316" t="s">
        <v>43</v>
      </c>
      <c r="E139" s="316">
        <v>100</v>
      </c>
      <c r="F139" s="494">
        <f t="shared" si="8"/>
        <v>240.94851104438763</v>
      </c>
      <c r="G139" s="494">
        <f t="shared" si="9"/>
        <v>822.15044801637316</v>
      </c>
    </row>
    <row r="140" spans="1:7" x14ac:dyDescent="0.55000000000000004">
      <c r="A140" s="179" t="s">
        <v>48</v>
      </c>
      <c r="B140" s="179" t="s">
        <v>31</v>
      </c>
      <c r="C140" s="495">
        <v>85.456231453950437</v>
      </c>
      <c r="D140" s="316" t="s">
        <v>43</v>
      </c>
      <c r="E140" s="316">
        <v>100</v>
      </c>
      <c r="F140" s="494">
        <f t="shared" si="8"/>
        <v>279.67270192222242</v>
      </c>
      <c r="G140" s="494">
        <f t="shared" si="9"/>
        <v>954.28287224794838</v>
      </c>
    </row>
    <row r="141" spans="1:7" x14ac:dyDescent="0.55000000000000004">
      <c r="A141" s="179" t="s">
        <v>50</v>
      </c>
      <c r="B141" s="179" t="s">
        <v>31</v>
      </c>
      <c r="C141" s="495">
        <v>85.456231453950437</v>
      </c>
      <c r="D141" s="316" t="s">
        <v>43</v>
      </c>
      <c r="E141" s="316">
        <v>100</v>
      </c>
      <c r="F141" s="494">
        <f t="shared" si="8"/>
        <v>279.67270192222242</v>
      </c>
      <c r="G141" s="494">
        <f t="shared" si="9"/>
        <v>954.28287224794838</v>
      </c>
    </row>
    <row r="142" spans="1:7" x14ac:dyDescent="0.55000000000000004">
      <c r="A142" s="179" t="s">
        <v>51</v>
      </c>
      <c r="B142" s="179" t="s">
        <v>31</v>
      </c>
      <c r="C142" s="495">
        <v>85.456231453950437</v>
      </c>
      <c r="D142" s="316" t="s">
        <v>43</v>
      </c>
      <c r="E142" s="316">
        <v>100</v>
      </c>
      <c r="F142" s="494">
        <f t="shared" si="8"/>
        <v>279.67270192222242</v>
      </c>
      <c r="G142" s="494">
        <f t="shared" si="9"/>
        <v>954.28287224794838</v>
      </c>
    </row>
    <row r="143" spans="1:7" x14ac:dyDescent="0.55000000000000004">
      <c r="A143" s="179" t="s">
        <v>38</v>
      </c>
      <c r="B143" s="179" t="s">
        <v>31</v>
      </c>
      <c r="C143" s="495">
        <v>85.456231453950437</v>
      </c>
      <c r="D143" s="316" t="s">
        <v>43</v>
      </c>
      <c r="E143" s="316">
        <v>100</v>
      </c>
      <c r="F143" s="494">
        <f t="shared" si="8"/>
        <v>279.67270192222242</v>
      </c>
      <c r="G143" s="494">
        <f t="shared" si="9"/>
        <v>954.28287224794838</v>
      </c>
    </row>
    <row r="144" spans="1:7" x14ac:dyDescent="0.55000000000000004">
      <c r="A144" s="179" t="s">
        <v>53</v>
      </c>
      <c r="B144" s="179" t="s">
        <v>31</v>
      </c>
      <c r="C144" s="495">
        <v>85.456231453950437</v>
      </c>
      <c r="D144" s="316" t="s">
        <v>43</v>
      </c>
      <c r="E144" s="316">
        <v>100</v>
      </c>
      <c r="F144" s="494">
        <f t="shared" si="8"/>
        <v>279.67270192222242</v>
      </c>
      <c r="G144" s="494">
        <f t="shared" si="9"/>
        <v>954.28287224794838</v>
      </c>
    </row>
    <row r="145" spans="1:7" x14ac:dyDescent="0.55000000000000004">
      <c r="A145" s="179" t="s">
        <v>54</v>
      </c>
      <c r="B145" s="179" t="s">
        <v>31</v>
      </c>
      <c r="C145" s="495">
        <v>85.456231453950437</v>
      </c>
      <c r="D145" s="316" t="s">
        <v>43</v>
      </c>
      <c r="E145" s="316">
        <v>100</v>
      </c>
      <c r="F145" s="494">
        <f t="shared" si="8"/>
        <v>279.67270192222242</v>
      </c>
      <c r="G145" s="494">
        <f t="shared" si="9"/>
        <v>954.28287224794838</v>
      </c>
    </row>
    <row r="146" spans="1:7" x14ac:dyDescent="0.55000000000000004">
      <c r="A146" s="179" t="s">
        <v>34</v>
      </c>
      <c r="B146" s="179" t="s">
        <v>91</v>
      </c>
      <c r="C146" s="495">
        <v>105.14963696391976</v>
      </c>
      <c r="D146" s="316" t="s">
        <v>43</v>
      </c>
      <c r="E146" s="316">
        <v>20</v>
      </c>
      <c r="F146" s="494">
        <f t="shared" si="8"/>
        <v>344.12333162253896</v>
      </c>
      <c r="G146" s="494">
        <f t="shared" si="9"/>
        <v>1174.1975496758207</v>
      </c>
    </row>
    <row r="147" spans="1:7" x14ac:dyDescent="0.55000000000000004">
      <c r="A147" s="179" t="s">
        <v>45</v>
      </c>
      <c r="B147" s="179" t="s">
        <v>91</v>
      </c>
      <c r="C147" s="495">
        <v>112.5878513754935</v>
      </c>
      <c r="D147" s="316" t="s">
        <v>43</v>
      </c>
      <c r="E147" s="316">
        <v>20</v>
      </c>
      <c r="F147" s="494">
        <f t="shared" si="8"/>
        <v>368.46638404327001</v>
      </c>
      <c r="G147" s="494">
        <f t="shared" si="9"/>
        <v>1257.2594925242793</v>
      </c>
    </row>
    <row r="148" spans="1:7" x14ac:dyDescent="0.55000000000000004">
      <c r="A148" s="179" t="s">
        <v>46</v>
      </c>
      <c r="B148" s="179" t="s">
        <v>91</v>
      </c>
      <c r="C148" s="495">
        <v>118.0212010954976</v>
      </c>
      <c r="D148" s="316" t="s">
        <v>43</v>
      </c>
      <c r="E148" s="316">
        <v>20</v>
      </c>
      <c r="F148" s="494">
        <f t="shared" si="8"/>
        <v>386.24811360035608</v>
      </c>
      <c r="G148" s="494">
        <f t="shared" si="9"/>
        <v>1317.9332724057044</v>
      </c>
    </row>
    <row r="149" spans="1:7" x14ac:dyDescent="0.55000000000000004">
      <c r="A149" s="179" t="s">
        <v>47</v>
      </c>
      <c r="B149" s="179" t="s">
        <v>91</v>
      </c>
      <c r="C149" s="495">
        <v>105.08688015383328</v>
      </c>
      <c r="D149" s="316" t="s">
        <v>43</v>
      </c>
      <c r="E149" s="316">
        <v>20</v>
      </c>
      <c r="F149" s="494">
        <f t="shared" si="8"/>
        <v>343.91794734169383</v>
      </c>
      <c r="G149" s="494">
        <f t="shared" si="9"/>
        <v>1173.4967494186187</v>
      </c>
    </row>
    <row r="150" spans="1:7" x14ac:dyDescent="0.55000000000000004">
      <c r="A150" s="179" t="s">
        <v>48</v>
      </c>
      <c r="B150" s="179" t="s">
        <v>91</v>
      </c>
      <c r="C150" s="495">
        <v>120.14019713104854</v>
      </c>
      <c r="D150" s="316" t="s">
        <v>43</v>
      </c>
      <c r="E150" s="316">
        <v>20</v>
      </c>
      <c r="F150" s="494">
        <f t="shared" si="8"/>
        <v>393.18295423797952</v>
      </c>
      <c r="G150" s="494">
        <f t="shared" si="9"/>
        <v>1341.5959309232076</v>
      </c>
    </row>
    <row r="151" spans="1:7" x14ac:dyDescent="0.55000000000000004">
      <c r="A151" s="179" t="s">
        <v>50</v>
      </c>
      <c r="B151" s="179" t="s">
        <v>91</v>
      </c>
      <c r="C151" s="495">
        <v>124.47669449162576</v>
      </c>
      <c r="D151" s="316" t="s">
        <v>43</v>
      </c>
      <c r="E151" s="316">
        <v>20</v>
      </c>
      <c r="F151" s="494">
        <f t="shared" si="8"/>
        <v>407.3750138815733</v>
      </c>
      <c r="G151" s="494">
        <f t="shared" si="9"/>
        <v>1390.0212486132025</v>
      </c>
    </row>
    <row r="152" spans="1:7" x14ac:dyDescent="0.55000000000000004">
      <c r="A152" s="179" t="s">
        <v>51</v>
      </c>
      <c r="B152" s="179" t="s">
        <v>91</v>
      </c>
      <c r="C152" s="495">
        <v>114.15347741287239</v>
      </c>
      <c r="D152" s="316" t="s">
        <v>43</v>
      </c>
      <c r="E152" s="316">
        <v>20</v>
      </c>
      <c r="F152" s="494">
        <f t="shared" si="8"/>
        <v>373.59021008408354</v>
      </c>
      <c r="G152" s="494">
        <f t="shared" si="9"/>
        <v>1274.7427127224598</v>
      </c>
    </row>
    <row r="153" spans="1:7" x14ac:dyDescent="0.55000000000000004">
      <c r="A153" s="179" t="s">
        <v>38</v>
      </c>
      <c r="B153" s="179" t="s">
        <v>91</v>
      </c>
      <c r="C153" s="495">
        <v>99.040320925257518</v>
      </c>
      <c r="D153" s="316" t="s">
        <v>43</v>
      </c>
      <c r="E153" s="316">
        <v>20</v>
      </c>
      <c r="F153" s="494">
        <f t="shared" si="8"/>
        <v>324.12936635682104</v>
      </c>
      <c r="G153" s="494">
        <f t="shared" si="9"/>
        <v>1105.9753082119355</v>
      </c>
    </row>
    <row r="154" spans="1:7" x14ac:dyDescent="0.55000000000000004">
      <c r="A154" s="179" t="s">
        <v>53</v>
      </c>
      <c r="B154" s="179" t="s">
        <v>91</v>
      </c>
      <c r="C154" s="495">
        <v>100.16168713154967</v>
      </c>
      <c r="D154" s="316" t="s">
        <v>43</v>
      </c>
      <c r="E154" s="316">
        <v>20</v>
      </c>
      <c r="F154" s="494">
        <f t="shared" si="8"/>
        <v>327.79926276369685</v>
      </c>
      <c r="G154" s="494">
        <f t="shared" si="9"/>
        <v>1118.4975145621993</v>
      </c>
    </row>
    <row r="155" spans="1:7" x14ac:dyDescent="0.55000000000000004">
      <c r="A155" s="179" t="s">
        <v>54</v>
      </c>
      <c r="B155" s="179" t="s">
        <v>91</v>
      </c>
      <c r="C155" s="495">
        <v>97.492227009754217</v>
      </c>
      <c r="D155" s="316" t="s">
        <v>43</v>
      </c>
      <c r="E155" s="316">
        <v>20</v>
      </c>
      <c r="F155" s="494">
        <f t="shared" si="8"/>
        <v>319.0629177103994</v>
      </c>
      <c r="G155" s="494">
        <f t="shared" si="9"/>
        <v>1088.6878678104463</v>
      </c>
    </row>
    <row r="156" spans="1:7" x14ac:dyDescent="0.55000000000000004">
      <c r="A156" s="179" t="s">
        <v>34</v>
      </c>
      <c r="B156" s="179" t="s">
        <v>91</v>
      </c>
      <c r="C156" s="495">
        <v>99.669217356139953</v>
      </c>
      <c r="D156" s="316" t="s">
        <v>43</v>
      </c>
      <c r="E156" s="316">
        <v>100</v>
      </c>
      <c r="F156" s="494">
        <f t="shared" si="8"/>
        <v>326.18755639237054</v>
      </c>
      <c r="G156" s="494">
        <f t="shared" si="9"/>
        <v>1112.9981441385628</v>
      </c>
    </row>
    <row r="157" spans="1:7" x14ac:dyDescent="0.55000000000000004">
      <c r="A157" s="179" t="s">
        <v>45</v>
      </c>
      <c r="B157" s="179" t="s">
        <v>91</v>
      </c>
      <c r="C157" s="495">
        <v>100.83604867243112</v>
      </c>
      <c r="D157" s="316" t="s">
        <v>43</v>
      </c>
      <c r="E157" s="316">
        <v>100</v>
      </c>
      <c r="F157" s="494">
        <f t="shared" si="8"/>
        <v>330.00624651434794</v>
      </c>
      <c r="G157" s="494">
        <f t="shared" si="9"/>
        <v>1126.0280557201334</v>
      </c>
    </row>
    <row r="158" spans="1:7" x14ac:dyDescent="0.55000000000000004">
      <c r="A158" s="179" t="s">
        <v>46</v>
      </c>
      <c r="B158" s="179" t="s">
        <v>91</v>
      </c>
      <c r="C158" s="495">
        <v>103.6817863711475</v>
      </c>
      <c r="D158" s="316" t="s">
        <v>43</v>
      </c>
      <c r="E158" s="316">
        <v>100</v>
      </c>
      <c r="F158" s="494">
        <f t="shared" si="8"/>
        <v>339.31949538597416</v>
      </c>
      <c r="G158" s="494">
        <f t="shared" si="9"/>
        <v>1157.8061800136049</v>
      </c>
    </row>
    <row r="159" spans="1:7" x14ac:dyDescent="0.55000000000000004">
      <c r="A159" s="179" t="s">
        <v>47</v>
      </c>
      <c r="B159" s="179" t="s">
        <v>91</v>
      </c>
      <c r="C159" s="495">
        <v>96.907386303455397</v>
      </c>
      <c r="D159" s="316" t="s">
        <v>43</v>
      </c>
      <c r="E159" s="316">
        <v>100</v>
      </c>
      <c r="F159" s="494">
        <f t="shared" si="8"/>
        <v>317.14890889276472</v>
      </c>
      <c r="G159" s="494">
        <f t="shared" si="9"/>
        <v>1082.1569986214029</v>
      </c>
    </row>
    <row r="160" spans="1:7" x14ac:dyDescent="0.55000000000000004">
      <c r="A160" s="179" t="s">
        <v>48</v>
      </c>
      <c r="B160" s="179" t="s">
        <v>91</v>
      </c>
      <c r="C160" s="495">
        <v>107.80184739609992</v>
      </c>
      <c r="D160" s="316" t="s">
        <v>43</v>
      </c>
      <c r="E160" s="316">
        <v>100</v>
      </c>
      <c r="F160" s="494">
        <f t="shared" si="8"/>
        <v>352.80322359781098</v>
      </c>
      <c r="G160" s="494">
        <f t="shared" si="9"/>
        <v>1203.814570529247</v>
      </c>
    </row>
    <row r="161" spans="1:7" x14ac:dyDescent="0.55000000000000004">
      <c r="A161" s="179" t="s">
        <v>50</v>
      </c>
      <c r="B161" s="179" t="s">
        <v>91</v>
      </c>
      <c r="C161" s="495">
        <v>109.52433647883127</v>
      </c>
      <c r="D161" s="316" t="s">
        <v>43</v>
      </c>
      <c r="E161" s="316">
        <v>100</v>
      </c>
      <c r="F161" s="494">
        <f t="shared" si="8"/>
        <v>358.44041549830564</v>
      </c>
      <c r="G161" s="494">
        <f t="shared" si="9"/>
        <v>1223.0494677546219</v>
      </c>
    </row>
    <row r="162" spans="1:7" x14ac:dyDescent="0.55000000000000004">
      <c r="A162" s="179" t="s">
        <v>51</v>
      </c>
      <c r="B162" s="179" t="s">
        <v>91</v>
      </c>
      <c r="C162" s="495">
        <v>105.42387768956277</v>
      </c>
      <c r="D162" s="316" t="s">
        <v>43</v>
      </c>
      <c r="E162" s="316">
        <v>100</v>
      </c>
      <c r="F162" s="494">
        <f t="shared" si="8"/>
        <v>345.02083954457999</v>
      </c>
      <c r="G162" s="494">
        <f t="shared" ref="G162:G165" si="10">(F162*1000)*kWh2mmBTU</f>
        <v>1177.2599738302838</v>
      </c>
    </row>
    <row r="163" spans="1:7" x14ac:dyDescent="0.55000000000000004">
      <c r="A163" s="179" t="s">
        <v>38</v>
      </c>
      <c r="B163" s="179" t="s">
        <v>91</v>
      </c>
      <c r="C163" s="495">
        <v>98.268198901925444</v>
      </c>
      <c r="D163" s="316" t="s">
        <v>43</v>
      </c>
      <c r="E163" s="316">
        <v>100</v>
      </c>
      <c r="F163" s="494">
        <f t="shared" si="8"/>
        <v>321.60244176858549</v>
      </c>
      <c r="G163" s="494">
        <f t="shared" si="10"/>
        <v>1097.353083599231</v>
      </c>
    </row>
    <row r="164" spans="1:7" x14ac:dyDescent="0.55000000000000004">
      <c r="A164" s="179" t="s">
        <v>53</v>
      </c>
      <c r="B164" s="179" t="s">
        <v>91</v>
      </c>
      <c r="C164" s="495">
        <v>99.373857957199832</v>
      </c>
      <c r="D164" s="316" t="s">
        <v>43</v>
      </c>
      <c r="E164" s="316">
        <v>100</v>
      </c>
      <c r="F164" s="494">
        <f t="shared" si="8"/>
        <v>325.22093336518708</v>
      </c>
      <c r="G164" s="494">
        <f t="shared" si="10"/>
        <v>1109.6998894557796</v>
      </c>
    </row>
    <row r="165" spans="1:7" x14ac:dyDescent="0.55000000000000004">
      <c r="A165" s="179" t="s">
        <v>54</v>
      </c>
      <c r="B165" s="179" t="s">
        <v>91</v>
      </c>
      <c r="C165" s="496">
        <v>96.741789378892776</v>
      </c>
      <c r="D165" s="497" t="s">
        <v>43</v>
      </c>
      <c r="E165" s="497">
        <v>100</v>
      </c>
      <c r="F165" s="498">
        <f t="shared" si="8"/>
        <v>316.60695965706276</v>
      </c>
      <c r="G165" s="498">
        <f t="shared" si="10"/>
        <v>1080.3077910666302</v>
      </c>
    </row>
    <row r="166" spans="1:7" x14ac:dyDescent="0.55000000000000004">
      <c r="A166" s="201"/>
      <c r="D166" s="499"/>
      <c r="E166" s="499"/>
    </row>
    <row r="167" spans="1:7" x14ac:dyDescent="0.55000000000000004">
      <c r="D167" s="499"/>
      <c r="E167" s="499"/>
    </row>
  </sheetData>
  <autoFilter ref="A1:G166" xr:uid="{93D3CDAB-CA04-4C82-9C72-9F592D8D38A6}"/>
  <pageMargins left="0.7" right="0.7" top="0.75" bottom="0.75" header="0.3" footer="0.3"/>
  <pageSetup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A9B81-9B1B-48A4-A2E1-71E45D931145}">
  <sheetPr>
    <tabColor theme="4" tint="0.59999389629810485"/>
  </sheetPr>
  <dimension ref="A3:G38"/>
  <sheetViews>
    <sheetView topLeftCell="A6" workbookViewId="0">
      <selection activeCell="E13" sqref="E13"/>
    </sheetView>
  </sheetViews>
  <sheetFormatPr defaultRowHeight="14.4" x14ac:dyDescent="0.55000000000000004"/>
  <cols>
    <col min="1" max="1" width="34.41796875" bestFit="1" customWidth="1"/>
    <col min="2" max="2" width="29.3125" bestFit="1" customWidth="1"/>
    <col min="3" max="3" width="11.68359375" bestFit="1" customWidth="1"/>
    <col min="4" max="4" width="29.9453125" bestFit="1" customWidth="1"/>
    <col min="5" max="5" width="11.68359375" bestFit="1" customWidth="1"/>
    <col min="6" max="6" width="33.734375" bestFit="1" customWidth="1"/>
    <col min="7" max="7" width="34.3671875" bestFit="1" customWidth="1"/>
  </cols>
  <sheetData>
    <row r="3" spans="1:7" x14ac:dyDescent="0.55000000000000004">
      <c r="B3" s="259" t="s">
        <v>92</v>
      </c>
    </row>
    <row r="4" spans="1:7" x14ac:dyDescent="0.55000000000000004">
      <c r="B4" t="s">
        <v>487</v>
      </c>
      <c r="D4" t="s">
        <v>488</v>
      </c>
      <c r="F4" t="s">
        <v>505</v>
      </c>
      <c r="G4" t="s">
        <v>506</v>
      </c>
    </row>
    <row r="5" spans="1:7" x14ac:dyDescent="0.55000000000000004">
      <c r="A5" s="259" t="s">
        <v>93</v>
      </c>
      <c r="B5">
        <v>20</v>
      </c>
      <c r="C5">
        <v>100</v>
      </c>
      <c r="D5">
        <v>20</v>
      </c>
      <c r="E5">
        <v>100</v>
      </c>
    </row>
    <row r="6" spans="1:7" x14ac:dyDescent="0.55000000000000004">
      <c r="A6" s="260" t="s">
        <v>43</v>
      </c>
    </row>
    <row r="7" spans="1:7" x14ac:dyDescent="0.55000000000000004">
      <c r="A7" s="261" t="s">
        <v>28</v>
      </c>
      <c r="B7" s="195">
        <v>18.600773655877287</v>
      </c>
      <c r="C7" s="195">
        <v>11.387457493852688</v>
      </c>
      <c r="D7" s="195">
        <v>60.874772239238666</v>
      </c>
      <c r="E7" s="195">
        <v>37.267744565197731</v>
      </c>
      <c r="F7" s="195">
        <v>14.994115574864983</v>
      </c>
      <c r="G7" s="195">
        <v>49.071258402218206</v>
      </c>
    </row>
    <row r="8" spans="1:7" x14ac:dyDescent="0.55000000000000004">
      <c r="A8" s="261" t="s">
        <v>29</v>
      </c>
      <c r="B8" s="195">
        <v>2.115488440059127</v>
      </c>
      <c r="C8" s="195">
        <v>2.0242134635379379</v>
      </c>
      <c r="D8" s="195">
        <v>6.9233613260301707</v>
      </c>
      <c r="E8" s="195">
        <v>6.6246456107774581</v>
      </c>
      <c r="F8" s="195">
        <v>2.0698509517985322</v>
      </c>
      <c r="G8" s="195">
        <v>6.774003468403814</v>
      </c>
    </row>
    <row r="9" spans="1:7" x14ac:dyDescent="0.55000000000000004">
      <c r="A9" s="261" t="s">
        <v>91</v>
      </c>
      <c r="B9" s="195">
        <v>109.63101736908523</v>
      </c>
      <c r="C9" s="195">
        <v>101.82283465056859</v>
      </c>
      <c r="D9" s="195">
        <v>358.78955016424123</v>
      </c>
      <c r="E9" s="195">
        <v>333.23570206169893</v>
      </c>
      <c r="F9" s="195">
        <v>105.72692600982691</v>
      </c>
      <c r="G9" s="195">
        <v>346.01262611297005</v>
      </c>
    </row>
    <row r="10" spans="1:7" x14ac:dyDescent="0.55000000000000004">
      <c r="A10" s="261" t="s">
        <v>30</v>
      </c>
      <c r="B10" s="195">
        <v>6.1541220755809416</v>
      </c>
      <c r="C10" s="195">
        <v>5.7773710897097761</v>
      </c>
      <c r="D10" s="195">
        <v>20.140602031630465</v>
      </c>
      <c r="E10" s="195">
        <v>18.90760866908991</v>
      </c>
      <c r="F10" s="195">
        <v>5.9657465826453588</v>
      </c>
      <c r="G10" s="195">
        <v>19.524105350360188</v>
      </c>
    </row>
    <row r="11" spans="1:7" x14ac:dyDescent="0.55000000000000004">
      <c r="A11" s="261" t="s">
        <v>31</v>
      </c>
      <c r="B11" s="195">
        <v>82.760633197567884</v>
      </c>
      <c r="C11" s="195">
        <v>82.633792603468166</v>
      </c>
      <c r="D11" s="195">
        <v>270.85081456734196</v>
      </c>
      <c r="E11" s="195">
        <v>270.43570321663384</v>
      </c>
      <c r="F11" s="195">
        <v>82.697212900518053</v>
      </c>
      <c r="G11" s="195">
        <v>270.64325889198795</v>
      </c>
    </row>
    <row r="12" spans="1:7" x14ac:dyDescent="0.55000000000000004">
      <c r="A12" s="260" t="s">
        <v>464</v>
      </c>
      <c r="B12" s="195"/>
      <c r="C12" s="195"/>
      <c r="D12" s="195"/>
      <c r="E12" s="195"/>
      <c r="F12" s="195"/>
      <c r="G12" s="195"/>
    </row>
    <row r="13" spans="1:7" x14ac:dyDescent="0.55000000000000004">
      <c r="A13" s="261" t="s">
        <v>90</v>
      </c>
      <c r="B13" s="195">
        <v>17.554988751571024</v>
      </c>
      <c r="C13" s="195">
        <v>9.3333341532909166</v>
      </c>
      <c r="D13" s="195">
        <v>40.341457743292182</v>
      </c>
      <c r="E13" s="195">
        <v>21.448051643742346</v>
      </c>
      <c r="F13" s="195">
        <v>13.44416145243097</v>
      </c>
      <c r="G13" s="195">
        <v>30.894754693517267</v>
      </c>
    </row>
    <row r="14" spans="1:7" x14ac:dyDescent="0.55000000000000004">
      <c r="A14" s="261" t="s">
        <v>91</v>
      </c>
      <c r="B14" s="195">
        <v>96.094561455388543</v>
      </c>
      <c r="C14" s="195">
        <v>80.859641006091195</v>
      </c>
      <c r="D14" s="195">
        <v>220.82581454037259</v>
      </c>
      <c r="E14" s="195">
        <v>185.81588612485336</v>
      </c>
      <c r="F14" s="195">
        <v>88.477101230739862</v>
      </c>
      <c r="G14" s="195">
        <v>203.32085033261299</v>
      </c>
    </row>
    <row r="15" spans="1:7" x14ac:dyDescent="0.55000000000000004">
      <c r="A15" s="261" t="s">
        <v>62</v>
      </c>
      <c r="B15" s="195">
        <v>4.5000220391822499</v>
      </c>
      <c r="C15" s="195">
        <v>2.2002193386911824</v>
      </c>
      <c r="D15" s="195">
        <v>10.341074637333969</v>
      </c>
      <c r="E15" s="195">
        <v>5.0561157705009254</v>
      </c>
      <c r="F15" s="195">
        <v>3.3501206889367161</v>
      </c>
      <c r="G15" s="195">
        <v>7.6985952039174474</v>
      </c>
    </row>
    <row r="16" spans="1:7" x14ac:dyDescent="0.55000000000000004">
      <c r="A16" s="261" t="s">
        <v>63</v>
      </c>
      <c r="B16" s="195">
        <v>1.8009749696735824</v>
      </c>
      <c r="C16" s="195">
        <v>0.65053398904573045</v>
      </c>
      <c r="D16" s="195">
        <v>4.1386500819780832</v>
      </c>
      <c r="E16" s="195">
        <v>1.4949305750660229</v>
      </c>
      <c r="F16" s="195">
        <v>1.2257544793596564</v>
      </c>
      <c r="G16" s="195">
        <v>2.8167903285220528</v>
      </c>
    </row>
    <row r="17" spans="1:7" x14ac:dyDescent="0.55000000000000004">
      <c r="A17" s="261" t="s">
        <v>64</v>
      </c>
      <c r="B17" s="195">
        <v>2.4107051693596553</v>
      </c>
      <c r="C17" s="195">
        <v>1.2321278380509162</v>
      </c>
      <c r="D17" s="195">
        <v>5.5398133315554174</v>
      </c>
      <c r="E17" s="195">
        <v>2.8314363407733163</v>
      </c>
      <c r="F17" s="195">
        <v>1.8214165037052858</v>
      </c>
      <c r="G17" s="195">
        <v>4.1856248361643669</v>
      </c>
    </row>
    <row r="18" spans="1:7" x14ac:dyDescent="0.55000000000000004">
      <c r="A18" s="261" t="s">
        <v>61</v>
      </c>
      <c r="B18" s="195">
        <v>9.5895795705264639</v>
      </c>
      <c r="C18" s="195">
        <v>7.5985705556494763</v>
      </c>
      <c r="D18" s="195">
        <v>22.036904978689368</v>
      </c>
      <c r="E18" s="195">
        <v>17.461555647691601</v>
      </c>
      <c r="F18" s="195">
        <v>8.5940750630879705</v>
      </c>
      <c r="G18" s="195">
        <v>19.749230313190484</v>
      </c>
    </row>
    <row r="19" spans="1:7" x14ac:dyDescent="0.55000000000000004">
      <c r="A19" s="261" t="s">
        <v>65</v>
      </c>
      <c r="B19" s="195">
        <v>0.68291668585196075</v>
      </c>
      <c r="C19" s="195">
        <v>0.36156905744174728</v>
      </c>
      <c r="D19" s="195">
        <v>1.5693461849709549</v>
      </c>
      <c r="E19" s="195">
        <v>0.83088762166041763</v>
      </c>
      <c r="F19" s="195">
        <v>0.52224287164685401</v>
      </c>
      <c r="G19" s="195">
        <v>1.2001169033156862</v>
      </c>
    </row>
    <row r="20" spans="1:7" x14ac:dyDescent="0.55000000000000004">
      <c r="A20" s="261" t="s">
        <v>31</v>
      </c>
      <c r="B20" s="195">
        <v>59.555374269223613</v>
      </c>
      <c r="C20" s="195">
        <v>59.483286073921214</v>
      </c>
      <c r="D20" s="195">
        <v>136.85856758255267</v>
      </c>
      <c r="E20" s="195">
        <v>136.69290852541874</v>
      </c>
      <c r="F20" s="195">
        <v>59.519330171572406</v>
      </c>
      <c r="G20" s="195">
        <v>136.77573805398569</v>
      </c>
    </row>
    <row r="21" spans="1:7" x14ac:dyDescent="0.55000000000000004">
      <c r="A21" s="260" t="s">
        <v>94</v>
      </c>
      <c r="B21" s="195">
        <v>36.114351695424538</v>
      </c>
      <c r="C21" s="195">
        <v>32.723583183659784</v>
      </c>
      <c r="D21" s="195">
        <v>109.0536282879001</v>
      </c>
      <c r="E21" s="195">
        <v>99.405379636985458</v>
      </c>
      <c r="F21" s="195">
        <v>34.418967439542143</v>
      </c>
      <c r="G21" s="195">
        <v>104.22950396244275</v>
      </c>
    </row>
    <row r="24" spans="1:7" x14ac:dyDescent="0.55000000000000004">
      <c r="A24" s="352"/>
      <c r="B24" s="570" t="s">
        <v>507</v>
      </c>
      <c r="C24" s="570"/>
      <c r="D24" s="570" t="s">
        <v>508</v>
      </c>
      <c r="E24" s="570"/>
    </row>
    <row r="25" spans="1:7" x14ac:dyDescent="0.55000000000000004">
      <c r="A25" s="326" t="s">
        <v>509</v>
      </c>
      <c r="B25" s="355" t="s">
        <v>510</v>
      </c>
      <c r="C25" s="355" t="s">
        <v>511</v>
      </c>
      <c r="D25" s="355" t="s">
        <v>510</v>
      </c>
      <c r="E25" s="355" t="s">
        <v>511</v>
      </c>
    </row>
    <row r="26" spans="1:7" x14ac:dyDescent="0.55000000000000004">
      <c r="A26" s="273" t="s">
        <v>43</v>
      </c>
      <c r="B26" s="342"/>
      <c r="C26" s="342"/>
      <c r="D26" s="342"/>
      <c r="E26" s="342"/>
    </row>
    <row r="27" spans="1:7" x14ac:dyDescent="0.55000000000000004">
      <c r="A27" s="261" t="s">
        <v>28</v>
      </c>
      <c r="B27" s="353">
        <v>18.600773655877287</v>
      </c>
      <c r="C27" s="353">
        <v>11.387457493852688</v>
      </c>
      <c r="D27" s="353">
        <v>60.874772239238666</v>
      </c>
      <c r="E27" s="353">
        <v>37.267744565197731</v>
      </c>
    </row>
    <row r="28" spans="1:7" x14ac:dyDescent="0.55000000000000004">
      <c r="A28" s="261" t="s">
        <v>29</v>
      </c>
      <c r="B28" s="353">
        <v>2.115488440059127</v>
      </c>
      <c r="C28" s="353">
        <v>2.0242134635379379</v>
      </c>
      <c r="D28" s="353">
        <v>6.9233613260301707</v>
      </c>
      <c r="E28" s="353">
        <v>6.6246456107774581</v>
      </c>
    </row>
    <row r="29" spans="1:7" x14ac:dyDescent="0.55000000000000004">
      <c r="A29" s="261" t="s">
        <v>30</v>
      </c>
      <c r="B29" s="353">
        <v>6.1541220755809416</v>
      </c>
      <c r="C29" s="353">
        <v>5.7773710897097761</v>
      </c>
      <c r="D29" s="353">
        <v>20.140602031630465</v>
      </c>
      <c r="E29" s="353">
        <v>18.90760866908991</v>
      </c>
    </row>
    <row r="30" spans="1:7" x14ac:dyDescent="0.55000000000000004">
      <c r="A30" s="261" t="s">
        <v>31</v>
      </c>
      <c r="B30" s="353">
        <v>82.760633197567884</v>
      </c>
      <c r="C30" s="353">
        <v>82.633792603468166</v>
      </c>
      <c r="D30" s="353">
        <v>270.85081456734196</v>
      </c>
      <c r="E30" s="353">
        <v>270.43570321663384</v>
      </c>
    </row>
    <row r="31" spans="1:7" x14ac:dyDescent="0.55000000000000004">
      <c r="A31" s="273" t="s">
        <v>464</v>
      </c>
      <c r="B31" s="354"/>
      <c r="C31" s="354"/>
      <c r="D31" s="354"/>
      <c r="E31" s="354"/>
    </row>
    <row r="32" spans="1:7" x14ac:dyDescent="0.55000000000000004">
      <c r="A32" s="261" t="s">
        <v>90</v>
      </c>
      <c r="B32" s="353">
        <v>17.554988751571024</v>
      </c>
      <c r="C32" s="353">
        <v>9.3333341532909166</v>
      </c>
      <c r="D32" s="353">
        <v>40.341457743292182</v>
      </c>
      <c r="E32" s="353">
        <v>21.448051643742346</v>
      </c>
    </row>
    <row r="33" spans="1:5" x14ac:dyDescent="0.55000000000000004">
      <c r="A33" s="261" t="s">
        <v>61</v>
      </c>
      <c r="B33" s="353">
        <v>9.5895795705264639</v>
      </c>
      <c r="C33" s="353">
        <v>7.5985705556494763</v>
      </c>
      <c r="D33" s="353">
        <v>22.036904978689368</v>
      </c>
      <c r="E33" s="353">
        <v>17.461555647691601</v>
      </c>
    </row>
    <row r="34" spans="1:5" x14ac:dyDescent="0.55000000000000004">
      <c r="A34" s="261" t="s">
        <v>62</v>
      </c>
      <c r="B34" s="353">
        <v>4.5000220391822499</v>
      </c>
      <c r="C34" s="353">
        <v>2.2002193386911824</v>
      </c>
      <c r="D34" s="353">
        <v>10.341074637333969</v>
      </c>
      <c r="E34" s="353">
        <v>5.0561157705009254</v>
      </c>
    </row>
    <row r="35" spans="1:5" x14ac:dyDescent="0.55000000000000004">
      <c r="A35" s="261" t="s">
        <v>63</v>
      </c>
      <c r="B35" s="353">
        <v>1.8009749696735824</v>
      </c>
      <c r="C35" s="353">
        <v>0.65053398904573045</v>
      </c>
      <c r="D35" s="353">
        <v>4.1386500819780832</v>
      </c>
      <c r="E35" s="353">
        <v>1.4949305750660229</v>
      </c>
    </row>
    <row r="36" spans="1:5" x14ac:dyDescent="0.55000000000000004">
      <c r="A36" s="261" t="s">
        <v>64</v>
      </c>
      <c r="B36" s="353">
        <v>2.4107051693596553</v>
      </c>
      <c r="C36" s="353">
        <v>1.2321278380509162</v>
      </c>
      <c r="D36" s="353">
        <v>5.5398133315554174</v>
      </c>
      <c r="E36" s="353">
        <v>2.8314363407733163</v>
      </c>
    </row>
    <row r="37" spans="1:5" x14ac:dyDescent="0.55000000000000004">
      <c r="A37" s="261" t="s">
        <v>65</v>
      </c>
      <c r="B37" s="353">
        <v>0.68291668585196075</v>
      </c>
      <c r="C37" s="353">
        <v>0.36156905744174728</v>
      </c>
      <c r="D37" s="353">
        <v>1.5693461849709549</v>
      </c>
      <c r="E37" s="353">
        <v>0.83088762166041763</v>
      </c>
    </row>
    <row r="38" spans="1:5" x14ac:dyDescent="0.55000000000000004">
      <c r="A38" s="261" t="s">
        <v>31</v>
      </c>
      <c r="B38" s="353">
        <v>59.555374269223613</v>
      </c>
      <c r="C38" s="353">
        <v>59.483286073921214</v>
      </c>
      <c r="D38" s="353">
        <v>136.85856758255267</v>
      </c>
      <c r="E38" s="353">
        <v>136.69290852541874</v>
      </c>
    </row>
  </sheetData>
  <mergeCells count="2">
    <mergeCell ref="B24:C24"/>
    <mergeCell ref="D24:E24"/>
  </mergeCells>
  <pageMargins left="0.7" right="0.7" top="0.75" bottom="0.75" header="0.3" footer="0.3"/>
  <pageSetup orientation="portrait"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AC0EF2C4F4A24488854DABB5A0BF9D" ma:contentTypeVersion="14" ma:contentTypeDescription="Create a new document." ma:contentTypeScope="" ma:versionID="30343ae4caf3a73cadb97dae0dfc9cb7">
  <xsd:schema xmlns:xsd="http://www.w3.org/2001/XMLSchema" xmlns:xs="http://www.w3.org/2001/XMLSchema" xmlns:p="http://schemas.microsoft.com/office/2006/metadata/properties" xmlns:ns2="7493c15b-8fd7-4ca9-bd55-8915d7e375e4" xmlns:ns3="73f89445-a407-4ba0-82ed-550188e425ec" targetNamespace="http://schemas.microsoft.com/office/2006/metadata/properties" ma:root="true" ma:fieldsID="c5cd3fb7163f52f40e3521111196a596" ns2:_="" ns3:_="">
    <xsd:import namespace="7493c15b-8fd7-4ca9-bd55-8915d7e375e4"/>
    <xsd:import namespace="73f89445-a407-4ba0-82ed-550188e425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3c15b-8fd7-4ca9-bd55-8915d7e37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89445-a407-4ba0-82ed-550188e425e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08721d2-4073-46ee-b1ce-9113b1d487b8}" ma:internalName="TaxCatchAll" ma:showField="CatchAllData" ma:web="73f89445-a407-4ba0-82ed-550188e425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493c15b-8fd7-4ca9-bd55-8915d7e375e4">
      <Terms xmlns="http://schemas.microsoft.com/office/infopath/2007/PartnerControls"/>
    </lcf76f155ced4ddcb4097134ff3c332f>
    <TaxCatchAll xmlns="73f89445-a407-4ba0-82ed-550188e425e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88950F-B081-468C-8543-5ABD9BFE5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3c15b-8fd7-4ca9-bd55-8915d7e375e4"/>
    <ds:schemaRef ds:uri="73f89445-a407-4ba0-82ed-550188e425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5C2C6F-4816-4B4D-9B5A-87D0F4DF7525}">
  <ds:schemaRefs>
    <ds:schemaRef ds:uri="http://schemas.microsoft.com/office/2006/metadata/properties"/>
    <ds:schemaRef ds:uri="http://schemas.microsoft.com/office/infopath/2007/PartnerControls"/>
    <ds:schemaRef ds:uri="7493c15b-8fd7-4ca9-bd55-8915d7e375e4"/>
    <ds:schemaRef ds:uri="73f89445-a407-4ba0-82ed-550188e425ec"/>
  </ds:schemaRefs>
</ds:datastoreItem>
</file>

<file path=customXml/itemProps3.xml><?xml version="1.0" encoding="utf-8"?>
<ds:datastoreItem xmlns:ds="http://schemas.openxmlformats.org/officeDocument/2006/customXml" ds:itemID="{228B36DE-818F-43E0-9F28-A9B55B1541DE}">
  <ds:schemaRefs>
    <ds:schemaRef ds:uri="http://schemas.microsoft.com/sharepoint/v3/contenttype/forms"/>
  </ds:schemaRefs>
</ds:datastoreItem>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130</vt:i4>
      </vt:variant>
    </vt:vector>
  </HeadingPairs>
  <TitlesOfParts>
    <vt:vector size="144" baseType="lpstr">
      <vt:lpstr>ReadMe</vt:lpstr>
      <vt:lpstr>Oil_LNG_Breakdown_100-yr</vt:lpstr>
      <vt:lpstr>Oil_LNG_Breakdown_20-yr</vt:lpstr>
      <vt:lpstr>Summary - LNG-Oil</vt:lpstr>
      <vt:lpstr>Fuel_Specs</vt:lpstr>
      <vt:lpstr>GREET 2023_100-yr</vt:lpstr>
      <vt:lpstr>GREET 2023_20-yr</vt:lpstr>
      <vt:lpstr>Adjustable_HeatRate_CI</vt:lpstr>
      <vt:lpstr>Pivot_averages</vt:lpstr>
      <vt:lpstr>Scenarios Pivot - fuel input</vt:lpstr>
      <vt:lpstr>RMI_OCI+_100-yr</vt:lpstr>
      <vt:lpstr>RMI_OCI+_20-yr</vt:lpstr>
      <vt:lpstr>NOIA_EPA</vt:lpstr>
      <vt:lpstr>HSEO_Crude Import</vt:lpstr>
      <vt:lpstr>BC_GTP_100</vt:lpstr>
      <vt:lpstr>BC_GTP_20</vt:lpstr>
      <vt:lpstr>BC_GWP_100</vt:lpstr>
      <vt:lpstr>BC_GWP_20</vt:lpstr>
      <vt:lpstr>BTU2BTU</vt:lpstr>
      <vt:lpstr>Btu2hph</vt:lpstr>
      <vt:lpstr>BTU2J</vt:lpstr>
      <vt:lpstr>BTU2kJ</vt:lpstr>
      <vt:lpstr>BTU2kWh</vt:lpstr>
      <vt:lpstr>BTU2MJ</vt:lpstr>
      <vt:lpstr>BTU2mmBTU</vt:lpstr>
      <vt:lpstr>BTU2Wh</vt:lpstr>
      <vt:lpstr>CH4_GWP</vt:lpstr>
      <vt:lpstr>CH4_GWP_100yr</vt:lpstr>
      <vt:lpstr>CH4_GWP_20yr</vt:lpstr>
      <vt:lpstr>CO2_GWP</vt:lpstr>
      <vt:lpstr>ft2m</vt:lpstr>
      <vt:lpstr>ft32ft3</vt:lpstr>
      <vt:lpstr>ft32gal</vt:lpstr>
      <vt:lpstr>ft32L</vt:lpstr>
      <vt:lpstr>ft32m3</vt:lpstr>
      <vt:lpstr>ft32ml</vt:lpstr>
      <vt:lpstr>g2g</vt:lpstr>
      <vt:lpstr>g2kg</vt:lpstr>
      <vt:lpstr>g2lb</vt:lpstr>
      <vt:lpstr>g2MT</vt:lpstr>
      <vt:lpstr>g2T</vt:lpstr>
      <vt:lpstr>gal2ft3</vt:lpstr>
      <vt:lpstr>gal2gal</vt:lpstr>
      <vt:lpstr>gal2L</vt:lpstr>
      <vt:lpstr>gal2m3</vt:lpstr>
      <vt:lpstr>gal2ml</vt:lpstr>
      <vt:lpstr>GWP_of_GHG_Ref</vt:lpstr>
      <vt:lpstr>hph2BTU</vt:lpstr>
      <vt:lpstr>hph2hph</vt:lpstr>
      <vt:lpstr>hph2J</vt:lpstr>
      <vt:lpstr>hph2kJ</vt:lpstr>
      <vt:lpstr>hph2kWh</vt:lpstr>
      <vt:lpstr>hph2MJ</vt:lpstr>
      <vt:lpstr>hph2mmBTU</vt:lpstr>
      <vt:lpstr>hph2Wh</vt:lpstr>
      <vt:lpstr>J2BTU</vt:lpstr>
      <vt:lpstr>J2hph</vt:lpstr>
      <vt:lpstr>J2J</vt:lpstr>
      <vt:lpstr>J2kJ</vt:lpstr>
      <vt:lpstr>J2kWh</vt:lpstr>
      <vt:lpstr>J2MJ</vt:lpstr>
      <vt:lpstr>J2mmBTU</vt:lpstr>
      <vt:lpstr>J2Wh</vt:lpstr>
      <vt:lpstr>kg2g</vt:lpstr>
      <vt:lpstr>kg2kg</vt:lpstr>
      <vt:lpstr>kg2lb</vt:lpstr>
      <vt:lpstr>kg2MT</vt:lpstr>
      <vt:lpstr>kg2T</vt:lpstr>
      <vt:lpstr>kJ2BTU</vt:lpstr>
      <vt:lpstr>kJ2hph</vt:lpstr>
      <vt:lpstr>kJ2J</vt:lpstr>
      <vt:lpstr>kJ2kJ</vt:lpstr>
      <vt:lpstr>kJ2kWh</vt:lpstr>
      <vt:lpstr>kJ2MJ</vt:lpstr>
      <vt:lpstr>kJ2mmBTU</vt:lpstr>
      <vt:lpstr>kJ2Wh</vt:lpstr>
      <vt:lpstr>km2mi</vt:lpstr>
      <vt:lpstr>kWh2BTU</vt:lpstr>
      <vt:lpstr>kWh2hph</vt:lpstr>
      <vt:lpstr>kWh2J</vt:lpstr>
      <vt:lpstr>kWh2kJ</vt:lpstr>
      <vt:lpstr>kWh2kWh</vt:lpstr>
      <vt:lpstr>kWh2MJ</vt:lpstr>
      <vt:lpstr>kWh2mmBTU</vt:lpstr>
      <vt:lpstr>kWh2Wh</vt:lpstr>
      <vt:lpstr>L2ft3</vt:lpstr>
      <vt:lpstr>L2gal</vt:lpstr>
      <vt:lpstr>L2L</vt:lpstr>
      <vt:lpstr>L2m3</vt:lpstr>
      <vt:lpstr>L2ml</vt:lpstr>
      <vt:lpstr>lb2g</vt:lpstr>
      <vt:lpstr>lb2kg</vt:lpstr>
      <vt:lpstr>lb2lb</vt:lpstr>
      <vt:lpstr>lb2MT</vt:lpstr>
      <vt:lpstr>lb2T</vt:lpstr>
      <vt:lpstr>m2ft</vt:lpstr>
      <vt:lpstr>m32ft3</vt:lpstr>
      <vt:lpstr>m32gal</vt:lpstr>
      <vt:lpstr>m32L</vt:lpstr>
      <vt:lpstr>m32m3</vt:lpstr>
      <vt:lpstr>m32ml</vt:lpstr>
      <vt:lpstr>mi2km</vt:lpstr>
      <vt:lpstr>MJ2BTU</vt:lpstr>
      <vt:lpstr>MJ2hph</vt:lpstr>
      <vt:lpstr>MJ2J</vt:lpstr>
      <vt:lpstr>MJ2kJ</vt:lpstr>
      <vt:lpstr>MJ2kWh</vt:lpstr>
      <vt:lpstr>MJ2MJ</vt:lpstr>
      <vt:lpstr>MJ2mmBTU</vt:lpstr>
      <vt:lpstr>MJ2Wh</vt:lpstr>
      <vt:lpstr>ml2ft3</vt:lpstr>
      <vt:lpstr>ml2gal</vt:lpstr>
      <vt:lpstr>ml2L</vt:lpstr>
      <vt:lpstr>ml2m3</vt:lpstr>
      <vt:lpstr>ml2ml</vt:lpstr>
      <vt:lpstr>mmBTU2BTU</vt:lpstr>
      <vt:lpstr>mmBtu2hph</vt:lpstr>
      <vt:lpstr>mmBTU2J</vt:lpstr>
      <vt:lpstr>mmBTU2kJ</vt:lpstr>
      <vt:lpstr>mmBTU2kWh</vt:lpstr>
      <vt:lpstr>mmBTU2MJ</vt:lpstr>
      <vt:lpstr>mmBTU2mmBTU</vt:lpstr>
      <vt:lpstr>mmBTU2Wh</vt:lpstr>
      <vt:lpstr>MT2g</vt:lpstr>
      <vt:lpstr>MT2kg</vt:lpstr>
      <vt:lpstr>MT2lb</vt:lpstr>
      <vt:lpstr>MT2MT</vt:lpstr>
      <vt:lpstr>MT2T</vt:lpstr>
      <vt:lpstr>N2O_GWP</vt:lpstr>
      <vt:lpstr>N2O_GWP_100yr</vt:lpstr>
      <vt:lpstr>N2O_GWP_20yr</vt:lpstr>
      <vt:lpstr>T2g</vt:lpstr>
      <vt:lpstr>T2kg</vt:lpstr>
      <vt:lpstr>T2lb</vt:lpstr>
      <vt:lpstr>T2MT</vt:lpstr>
      <vt:lpstr>T2T</vt:lpstr>
      <vt:lpstr>Wh2BTU</vt:lpstr>
      <vt:lpstr>Wh2hph</vt:lpstr>
      <vt:lpstr>Wh2J</vt:lpstr>
      <vt:lpstr>Wh2kJ</vt:lpstr>
      <vt:lpstr>Wh2kWh</vt:lpstr>
      <vt:lpstr>Wh2MJ</vt:lpstr>
      <vt:lpstr>Wh2mmBTU</vt:lpstr>
      <vt:lpstr>Wh2Wh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2024-12-25T02:18:45Z</dcterms:created>
  <dcterms:modified xsi:type="dcterms:W3CDTF">2025-01-28T06:01:10Z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0x010100C9AC0EF2C4F4A24488854DABB5A0BF9D</vt:lpwstr>
  </property>
</Properties>
</file>