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17" documentId="8_{9B717945-EED5-4A0D-86D7-512C58DE4E6F}" xr6:coauthVersionLast="47" xr6:coauthVersionMax="47" xr10:uidLastSave="{2CF1E060-3AA1-4961-B704-1C2D7EFBD4E8}"/>
  <bookViews>
    <workbookView xWindow="-19310" yWindow="-110" windowWidth="19420" windowHeight="10300" tabRatio="329" xr2:uid="{00000000-000D-0000-FFFF-FFFF00000000}"/>
  </bookViews>
  <sheets>
    <sheet name="LCCC" sheetId="1" r:id="rId1"/>
    <sheet name="LookupTables" sheetId="2" r:id="rId2"/>
    <sheet name="PresentValue" sheetId="3" r:id="rId3"/>
    <sheet name="Notes" sheetId="4" r:id="rId4"/>
  </sheets>
  <definedNames>
    <definedName name="bedroom_no">LCCC!$B$16</definedName>
    <definedName name="COP_def">LookupTables!$E$20:$E$24</definedName>
    <definedName name="discount_rate">PresentValue!$B$3</definedName>
    <definedName name="EF_def">LookupTables!$D$20:$D$24</definedName>
    <definedName name="Energy_inflat">PresentValue!$B$4</definedName>
    <definedName name="energy_rate_kWh_def">LookupTables!$B$11:$B$16</definedName>
    <definedName name="energy_rate_kWh_def_a">LookupTables!$C$29</definedName>
    <definedName name="energy_rate_kWh_ent">LookupTables!$B$29</definedName>
    <definedName name="energy_rate_therm_def">LookupTables!$C$11:$C$16</definedName>
    <definedName name="energy_rate_therm_def_a">LookupTables!$C$30</definedName>
    <definedName name="energy_rate_therm_ent">LookupTables!$B$30</definedName>
    <definedName name="energy_to_heat_water_kWh_def">LookupTables!$C$32</definedName>
    <definedName name="energy_to_heat_water_kWh_ent">LookupTables!$B$32</definedName>
    <definedName name="energy_to_heat_water_therm_def">LookupTables!$C$33</definedName>
    <definedName name="energy_to_heat_water_therm_ent">LookupTables!$B$33</definedName>
    <definedName name="Equip_inflat">PresentValue!$B$5</definedName>
    <definedName name="ins_cost">LookupTables!$C$20:$C$24</definedName>
    <definedName name="island_ent">LCCC!$B$17</definedName>
    <definedName name="island_name">LookupTables!$A$11:$A$16</definedName>
    <definedName name="maintain_pct_electric">PresentValue!$C$6</definedName>
    <definedName name="maintain_pct_gas">PresentValue!$D$6</definedName>
    <definedName name="maintain_pct_pump">PresentValue!$E$6</definedName>
    <definedName name="maintain_pct_solar">PresentValue!$B$6</definedName>
    <definedName name="_xlnm.Print_Area" localSheetId="0">LCCC!$A$1:$E$69</definedName>
    <definedName name="_xlnm.Print_Area" localSheetId="3">Notes!$A$1:$B$29</definedName>
    <definedName name="rebate_solar">LCCC!$B$20</definedName>
    <definedName name="solar_cost">LCCC!$B$19</definedName>
    <definedName name="solar_EF_def">LCCC!$C$21</definedName>
    <definedName name="solar_EF_ent">LCCC!$B$21</definedName>
    <definedName name="solar_fraction_def">LCCC!#REF!</definedName>
    <definedName name="solar_fraction_ent">LCCC!#REF!</definedName>
    <definedName name="solar_life_span_def">LCCC!$C$22</definedName>
    <definedName name="solar_life_span_ent">LCCC!$B$22</definedName>
    <definedName name="solar_rebate">LCCC!$B$20</definedName>
    <definedName name="tech_Costs">LCCC!$B$24</definedName>
    <definedName name="tech_EF_def_a">LCCC!$C$26</definedName>
    <definedName name="tech_EF_ent">LCCC!$B$26</definedName>
    <definedName name="tech_energy_factor_def">LookupTables!$D$20:$D$24</definedName>
    <definedName name="tech_ent">LCCC!$B$23</definedName>
    <definedName name="tech_life_span_def">LookupTables!$B$20:$B$24</definedName>
    <definedName name="tech_life_span_def_a">LCCC!$C$27</definedName>
    <definedName name="tech_life_span_ent">LCCC!$B$27</definedName>
    <definedName name="Tech_name">LookupTables!$A$20:$A$22</definedName>
    <definedName name="tech_rebate">LCCC!$B$25</definedName>
    <definedName name="Therm_inflat">PresentValue!$D$4</definedName>
    <definedName name="water_use_def">LookupTables!$B$3:$B$7</definedName>
    <definedName name="water_use_def_a">LookupTables!$C$27</definedName>
    <definedName name="water_use_ent">LookupTables!$B$27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2" l="1"/>
  <c r="D10" i="2"/>
  <c r="B7" i="2"/>
  <c r="B6" i="2"/>
  <c r="B5" i="2"/>
  <c r="B4" i="2"/>
  <c r="B3" i="2"/>
  <c r="C20" i="1"/>
  <c r="C23" i="1"/>
  <c r="C17" i="1"/>
  <c r="C21" i="1" l="1"/>
  <c r="B21" i="1" s="1"/>
  <c r="E24" i="2" l="1"/>
  <c r="E23" i="2"/>
  <c r="A29" i="4" l="1"/>
  <c r="F6" i="3" s="1"/>
  <c r="A27" i="4" l="1"/>
  <c r="A26" i="4"/>
  <c r="D21" i="1" s="1"/>
  <c r="A16" i="4"/>
  <c r="F5" i="3" s="1"/>
  <c r="B29" i="2"/>
  <c r="B30" i="2"/>
  <c r="B27" i="2"/>
  <c r="A9" i="4"/>
  <c r="A4" i="4"/>
  <c r="A11" i="4"/>
  <c r="A12" i="4"/>
  <c r="F3" i="3" s="1"/>
  <c r="A14" i="4"/>
  <c r="F4" i="3" s="1"/>
  <c r="A18" i="4"/>
  <c r="A19" i="4"/>
  <c r="A21" i="4"/>
  <c r="F43" i="3" s="1"/>
  <c r="A22" i="4"/>
  <c r="E22" i="2" s="1"/>
  <c r="A24" i="4"/>
  <c r="A2" i="4"/>
  <c r="A8" i="4"/>
  <c r="C24" i="1"/>
  <c r="B24" i="1" s="1"/>
  <c r="B20" i="1"/>
  <c r="C22" i="1"/>
  <c r="B22" i="1" s="1"/>
  <c r="C26" i="1"/>
  <c r="B26" i="1" s="1"/>
  <c r="C27" i="1"/>
  <c r="B27" i="1" s="1"/>
  <c r="G18" i="3" l="1"/>
  <c r="G13" i="3"/>
  <c r="G31" i="3"/>
  <c r="G19" i="3"/>
  <c r="G34" i="3"/>
  <c r="G40" i="3"/>
  <c r="G22" i="3"/>
  <c r="G32" i="3"/>
  <c r="G29" i="3"/>
  <c r="B17" i="3"/>
  <c r="B36" i="3"/>
  <c r="B16" i="3"/>
  <c r="B14" i="3"/>
  <c r="Q40" i="3"/>
  <c r="Q17" i="3"/>
  <c r="Q15" i="3"/>
  <c r="Q32" i="3"/>
  <c r="R16" i="3"/>
  <c r="R12" i="3"/>
  <c r="R26" i="3"/>
  <c r="R18" i="3"/>
  <c r="R41" i="3"/>
  <c r="R25" i="3"/>
  <c r="R19" i="3"/>
  <c r="R24" i="3"/>
  <c r="R35" i="3"/>
  <c r="R27" i="3"/>
  <c r="C36" i="3"/>
  <c r="C25" i="3"/>
  <c r="C34" i="3"/>
  <c r="C23" i="3"/>
  <c r="C30" i="3"/>
  <c r="C18" i="3"/>
  <c r="C14" i="3"/>
  <c r="C27" i="3"/>
  <c r="C32" i="3"/>
  <c r="C20" i="3"/>
  <c r="B15" i="3"/>
  <c r="B37" i="3"/>
  <c r="C19" i="3"/>
  <c r="C16" i="3"/>
  <c r="C29" i="3"/>
  <c r="C38" i="3"/>
  <c r="C37" i="3"/>
  <c r="C41" i="3"/>
  <c r="C33" i="3"/>
  <c r="C21" i="3"/>
  <c r="C35" i="3"/>
  <c r="C24" i="3"/>
  <c r="C39" i="3"/>
  <c r="C13" i="3"/>
  <c r="C12" i="3"/>
  <c r="C40" i="3"/>
  <c r="C31" i="3"/>
  <c r="C26" i="3"/>
  <c r="C22" i="3"/>
  <c r="C28" i="3"/>
  <c r="C17" i="3"/>
  <c r="C15" i="3"/>
  <c r="R34" i="3"/>
  <c r="R31" i="3"/>
  <c r="R22" i="3"/>
  <c r="R14" i="3"/>
  <c r="R37" i="3"/>
  <c r="R33" i="3"/>
  <c r="R20" i="3"/>
  <c r="H39" i="3"/>
  <c r="G30" i="3"/>
  <c r="G27" i="3"/>
  <c r="G36" i="3"/>
  <c r="G37" i="3"/>
  <c r="G33" i="3"/>
  <c r="G14" i="3"/>
  <c r="G12" i="3"/>
  <c r="G20" i="3"/>
  <c r="G39" i="3"/>
  <c r="G17" i="3"/>
  <c r="G16" i="3"/>
  <c r="G15" i="3"/>
  <c r="G21" i="3"/>
  <c r="G23" i="3"/>
  <c r="G38" i="3"/>
  <c r="G24" i="3"/>
  <c r="G35" i="3"/>
  <c r="G26" i="3"/>
  <c r="G28" i="3"/>
  <c r="G41" i="3"/>
  <c r="G25" i="3"/>
  <c r="R39" i="3"/>
  <c r="R29" i="3"/>
  <c r="R17" i="3"/>
  <c r="R23" i="3"/>
  <c r="R21" i="3"/>
  <c r="R42" i="3"/>
  <c r="S42" i="3" s="1"/>
  <c r="T42" i="3" s="1"/>
  <c r="R15" i="3"/>
  <c r="R13" i="3"/>
  <c r="R40" i="3"/>
  <c r="R38" i="3"/>
  <c r="R36" i="3"/>
  <c r="R32" i="3"/>
  <c r="R30" i="3"/>
  <c r="R28" i="3"/>
  <c r="R11" i="3"/>
  <c r="S11" i="3" s="1"/>
  <c r="T11" i="3" s="1"/>
  <c r="H22" i="3"/>
  <c r="H26" i="3"/>
  <c r="H35" i="3"/>
  <c r="H14" i="3"/>
  <c r="H29" i="3"/>
  <c r="H18" i="3"/>
  <c r="H27" i="3"/>
  <c r="H40" i="3"/>
  <c r="H38" i="3"/>
  <c r="H34" i="3"/>
  <c r="H15" i="3"/>
  <c r="H13" i="3"/>
  <c r="H23" i="3"/>
  <c r="H41" i="3"/>
  <c r="H32" i="3"/>
  <c r="H28" i="3"/>
  <c r="H30" i="3"/>
  <c r="H33" i="3"/>
  <c r="H24" i="3"/>
  <c r="H42" i="3"/>
  <c r="I42" i="3" s="1"/>
  <c r="J42" i="3" s="1"/>
  <c r="H37" i="3"/>
  <c r="H25" i="3"/>
  <c r="H16" i="3"/>
  <c r="H19" i="3"/>
  <c r="H21" i="3"/>
  <c r="H17" i="3"/>
  <c r="H11" i="3"/>
  <c r="H20" i="3"/>
  <c r="H31" i="3"/>
  <c r="H12" i="3"/>
  <c r="H36" i="3"/>
  <c r="M20" i="3"/>
  <c r="M40" i="3"/>
  <c r="M30" i="3"/>
  <c r="M16" i="3"/>
  <c r="M19" i="3"/>
  <c r="M25" i="3"/>
  <c r="M33" i="3"/>
  <c r="M24" i="3"/>
  <c r="M11" i="3"/>
  <c r="M36" i="3"/>
  <c r="M12" i="3"/>
  <c r="M34" i="3"/>
  <c r="M32" i="3"/>
  <c r="M13" i="3"/>
  <c r="M26" i="3"/>
  <c r="M28" i="3"/>
  <c r="M17" i="3"/>
  <c r="M42" i="3"/>
  <c r="N42" i="3" s="1"/>
  <c r="O42" i="3" s="1"/>
  <c r="M21" i="3"/>
  <c r="M27" i="3"/>
  <c r="M15" i="3"/>
  <c r="M35" i="3"/>
  <c r="M22" i="3"/>
  <c r="M29" i="3"/>
  <c r="M41" i="3"/>
  <c r="M23" i="3"/>
  <c r="M18" i="3"/>
  <c r="M39" i="3"/>
  <c r="M37" i="3"/>
  <c r="M14" i="3"/>
  <c r="M31" i="3"/>
  <c r="M38" i="3"/>
  <c r="L41" i="3"/>
  <c r="L32" i="3"/>
  <c r="L17" i="3"/>
  <c r="L23" i="3"/>
  <c r="L16" i="3"/>
  <c r="L27" i="3"/>
  <c r="L20" i="3"/>
  <c r="L33" i="3"/>
  <c r="L22" i="3"/>
  <c r="L34" i="3"/>
  <c r="L14" i="3"/>
  <c r="L26" i="3"/>
  <c r="L30" i="3"/>
  <c r="L15" i="3"/>
  <c r="L40" i="3"/>
  <c r="L28" i="3"/>
  <c r="L37" i="3"/>
  <c r="L29" i="3"/>
  <c r="L12" i="3"/>
  <c r="L38" i="3"/>
  <c r="L36" i="3"/>
  <c r="L13" i="3"/>
  <c r="L39" i="3"/>
  <c r="L19" i="3"/>
  <c r="L25" i="3"/>
  <c r="L21" i="3"/>
  <c r="L18" i="3"/>
  <c r="L35" i="3"/>
  <c r="L24" i="3"/>
  <c r="L31" i="3"/>
  <c r="E21" i="2"/>
  <c r="E20" i="2"/>
  <c r="C33" i="2"/>
  <c r="C32" i="2"/>
  <c r="C11" i="3"/>
  <c r="C42" i="3"/>
  <c r="D42" i="3" s="1"/>
  <c r="E42" i="3" s="1"/>
  <c r="B28" i="3"/>
  <c r="B18" i="3"/>
  <c r="Q24" i="3"/>
  <c r="B27" i="3"/>
  <c r="B34" i="3"/>
  <c r="B33" i="3"/>
  <c r="B32" i="3"/>
  <c r="B31" i="3"/>
  <c r="B30" i="3"/>
  <c r="B29" i="3"/>
  <c r="Q41" i="3"/>
  <c r="Q29" i="3"/>
  <c r="Q36" i="3"/>
  <c r="Q13" i="3"/>
  <c r="Q31" i="3"/>
  <c r="Q16" i="3"/>
  <c r="S16" i="3" s="1"/>
  <c r="T16" i="3" s="1"/>
  <c r="Q26" i="3"/>
  <c r="Q33" i="3"/>
  <c r="Q28" i="3"/>
  <c r="Q27" i="3"/>
  <c r="Q19" i="3"/>
  <c r="Q22" i="3"/>
  <c r="Q35" i="3"/>
  <c r="B19" i="3"/>
  <c r="B26" i="3"/>
  <c r="B25" i="3"/>
  <c r="B24" i="3"/>
  <c r="B23" i="3"/>
  <c r="B22" i="3"/>
  <c r="B21" i="3"/>
  <c r="Q38" i="3"/>
  <c r="Q34" i="3"/>
  <c r="Q25" i="3"/>
  <c r="Q20" i="3"/>
  <c r="Q37" i="3"/>
  <c r="B12" i="3"/>
  <c r="B13" i="3"/>
  <c r="Q21" i="3"/>
  <c r="Q39" i="3"/>
  <c r="Q23" i="3"/>
  <c r="Q18" i="3"/>
  <c r="Q30" i="3"/>
  <c r="Q14" i="3"/>
  <c r="Q12" i="3"/>
  <c r="B35" i="3"/>
  <c r="B20" i="3"/>
  <c r="B41" i="3"/>
  <c r="B40" i="3"/>
  <c r="B39" i="3"/>
  <c r="B38" i="3"/>
  <c r="N13" i="3" l="1"/>
  <c r="O13" i="3" s="1"/>
  <c r="S18" i="3"/>
  <c r="T18" i="3" s="1"/>
  <c r="I34" i="3"/>
  <c r="J34" i="3" s="1"/>
  <c r="I16" i="3"/>
  <c r="J16" i="3" s="1"/>
  <c r="N12" i="3"/>
  <c r="O12" i="3" s="1"/>
  <c r="S26" i="3"/>
  <c r="T26" i="3" s="1"/>
  <c r="S30" i="3"/>
  <c r="T30" i="3" s="1"/>
  <c r="S31" i="3"/>
  <c r="T31" i="3" s="1"/>
  <c r="I22" i="3"/>
  <c r="J22" i="3" s="1"/>
  <c r="I18" i="3"/>
  <c r="J18" i="3" s="1"/>
  <c r="I31" i="3"/>
  <c r="J31" i="3" s="1"/>
  <c r="I29" i="3"/>
  <c r="J29" i="3" s="1"/>
  <c r="N18" i="3"/>
  <c r="O18" i="3" s="1"/>
  <c r="S21" i="3"/>
  <c r="T21" i="3" s="1"/>
  <c r="I21" i="3"/>
  <c r="J21" i="3" s="1"/>
  <c r="I40" i="3"/>
  <c r="J40" i="3" s="1"/>
  <c r="I13" i="3"/>
  <c r="J13" i="3" s="1"/>
  <c r="I19" i="3"/>
  <c r="J19" i="3" s="1"/>
  <c r="I32" i="3"/>
  <c r="J32" i="3" s="1"/>
  <c r="D28" i="3"/>
  <c r="E28" i="3" s="1"/>
  <c r="S32" i="3"/>
  <c r="T32" i="3" s="1"/>
  <c r="D17" i="3"/>
  <c r="E17" i="3" s="1"/>
  <c r="D20" i="3"/>
  <c r="E20" i="3" s="1"/>
  <c r="D25" i="3"/>
  <c r="E25" i="3" s="1"/>
  <c r="D41" i="3"/>
  <c r="E41" i="3" s="1"/>
  <c r="D39" i="3"/>
  <c r="E39" i="3" s="1"/>
  <c r="D38" i="3"/>
  <c r="E38" i="3" s="1"/>
  <c r="D18" i="3"/>
  <c r="E18" i="3" s="1"/>
  <c r="D32" i="3"/>
  <c r="E32" i="3" s="1"/>
  <c r="S22" i="3"/>
  <c r="T22" i="3" s="1"/>
  <c r="D13" i="3"/>
  <c r="E13" i="3" s="1"/>
  <c r="D34" i="3"/>
  <c r="E34" i="3" s="1"/>
  <c r="I41" i="3"/>
  <c r="J41" i="3" s="1"/>
  <c r="D37" i="3"/>
  <c r="E37" i="3" s="1"/>
  <c r="S41" i="3"/>
  <c r="T41" i="3" s="1"/>
  <c r="D15" i="3"/>
  <c r="E15" i="3" s="1"/>
  <c r="D31" i="3"/>
  <c r="E31" i="3" s="1"/>
  <c r="S40" i="3"/>
  <c r="T40" i="3" s="1"/>
  <c r="D14" i="3"/>
  <c r="E14" i="3" s="1"/>
  <c r="D21" i="3"/>
  <c r="E21" i="3" s="1"/>
  <c r="D35" i="3"/>
  <c r="E35" i="3" s="1"/>
  <c r="I39" i="3"/>
  <c r="J39" i="3" s="1"/>
  <c r="D16" i="3"/>
  <c r="E16" i="3" s="1"/>
  <c r="D22" i="3"/>
  <c r="E22" i="3" s="1"/>
  <c r="S25" i="3"/>
  <c r="T25" i="3" s="1"/>
  <c r="D26" i="3"/>
  <c r="E26" i="3" s="1"/>
  <c r="D30" i="3"/>
  <c r="E30" i="3" s="1"/>
  <c r="D36" i="3"/>
  <c r="E36" i="3" s="1"/>
  <c r="D19" i="3"/>
  <c r="E19" i="3" s="1"/>
  <c r="S15" i="3"/>
  <c r="T15" i="3" s="1"/>
  <c r="I15" i="3"/>
  <c r="J15" i="3" s="1"/>
  <c r="I37" i="3"/>
  <c r="J37" i="3" s="1"/>
  <c r="S17" i="3"/>
  <c r="T17" i="3" s="1"/>
  <c r="I23" i="3"/>
  <c r="J23" i="3" s="1"/>
  <c r="I14" i="3"/>
  <c r="J14" i="3" s="1"/>
  <c r="S19" i="3"/>
  <c r="T19" i="3" s="1"/>
  <c r="S14" i="3"/>
  <c r="T14" i="3" s="1"/>
  <c r="S37" i="3"/>
  <c r="T37" i="3" s="1"/>
  <c r="S24" i="3"/>
  <c r="T24" i="3" s="1"/>
  <c r="S39" i="3"/>
  <c r="T39" i="3" s="1"/>
  <c r="S35" i="3"/>
  <c r="T35" i="3" s="1"/>
  <c r="I25" i="3"/>
  <c r="J25" i="3" s="1"/>
  <c r="D23" i="3"/>
  <c r="E23" i="3" s="1"/>
  <c r="S27" i="3"/>
  <c r="T27" i="3" s="1"/>
  <c r="D27" i="3"/>
  <c r="E27" i="3" s="1"/>
  <c r="D24" i="3"/>
  <c r="E24" i="3" s="1"/>
  <c r="N28" i="3"/>
  <c r="O28" i="3" s="1"/>
  <c r="S20" i="3"/>
  <c r="T20" i="3" s="1"/>
  <c r="S33" i="3"/>
  <c r="T33" i="3" s="1"/>
  <c r="D29" i="3"/>
  <c r="E29" i="3" s="1"/>
  <c r="I17" i="3"/>
  <c r="J17" i="3" s="1"/>
  <c r="I33" i="3"/>
  <c r="J33" i="3" s="1"/>
  <c r="I26" i="3"/>
  <c r="J26" i="3" s="1"/>
  <c r="I27" i="3"/>
  <c r="J27" i="3" s="1"/>
  <c r="G43" i="3"/>
  <c r="B44" i="1" s="1"/>
  <c r="S23" i="3"/>
  <c r="T23" i="3" s="1"/>
  <c r="D40" i="3"/>
  <c r="E40" i="3" s="1"/>
  <c r="S34" i="3"/>
  <c r="T34" i="3" s="1"/>
  <c r="D33" i="3"/>
  <c r="E33" i="3" s="1"/>
  <c r="N40" i="3"/>
  <c r="O40" i="3" s="1"/>
  <c r="I20" i="3"/>
  <c r="J20" i="3" s="1"/>
  <c r="I24" i="3"/>
  <c r="J24" i="3" s="1"/>
  <c r="I35" i="3"/>
  <c r="J35" i="3" s="1"/>
  <c r="N32" i="3"/>
  <c r="O32" i="3" s="1"/>
  <c r="N37" i="3"/>
  <c r="O37" i="3" s="1"/>
  <c r="I30" i="3"/>
  <c r="J30" i="3" s="1"/>
  <c r="N19" i="3"/>
  <c r="O19" i="3" s="1"/>
  <c r="I36" i="3"/>
  <c r="J36" i="3" s="1"/>
  <c r="I28" i="3"/>
  <c r="J28" i="3" s="1"/>
  <c r="S38" i="3"/>
  <c r="T38" i="3" s="1"/>
  <c r="N15" i="3"/>
  <c r="O15" i="3" s="1"/>
  <c r="N27" i="3"/>
  <c r="O27" i="3" s="1"/>
  <c r="I12" i="3"/>
  <c r="J12" i="3" s="1"/>
  <c r="N22" i="3"/>
  <c r="O22" i="3" s="1"/>
  <c r="S13" i="3"/>
  <c r="T13" i="3" s="1"/>
  <c r="N36" i="3"/>
  <c r="O36" i="3" s="1"/>
  <c r="N33" i="3"/>
  <c r="O33" i="3" s="1"/>
  <c r="I38" i="3"/>
  <c r="J38" i="3" s="1"/>
  <c r="S29" i="3"/>
  <c r="T29" i="3" s="1"/>
  <c r="N31" i="3"/>
  <c r="O31" i="3" s="1"/>
  <c r="N17" i="3"/>
  <c r="O17" i="3" s="1"/>
  <c r="N34" i="3"/>
  <c r="O34" i="3" s="1"/>
  <c r="R43" i="3"/>
  <c r="B37" i="1" s="1"/>
  <c r="S36" i="3"/>
  <c r="T36" i="3" s="1"/>
  <c r="N25" i="3"/>
  <c r="O25" i="3" s="1"/>
  <c r="S28" i="3"/>
  <c r="T28" i="3" s="1"/>
  <c r="N39" i="3"/>
  <c r="O39" i="3" s="1"/>
  <c r="N16" i="3"/>
  <c r="O16" i="3" s="1"/>
  <c r="N24" i="3"/>
  <c r="O24" i="3" s="1"/>
  <c r="N30" i="3"/>
  <c r="O30" i="3" s="1"/>
  <c r="N35" i="3"/>
  <c r="O35" i="3" s="1"/>
  <c r="N38" i="3"/>
  <c r="O38" i="3" s="1"/>
  <c r="I11" i="3"/>
  <c r="J11" i="3" s="1"/>
  <c r="H43" i="3"/>
  <c r="B45" i="1" s="1"/>
  <c r="N21" i="3"/>
  <c r="O21" i="3" s="1"/>
  <c r="N29" i="3"/>
  <c r="O29" i="3" s="1"/>
  <c r="N20" i="3"/>
  <c r="O20" i="3" s="1"/>
  <c r="N41" i="3"/>
  <c r="O41" i="3" s="1"/>
  <c r="L43" i="3"/>
  <c r="B40" i="1" s="1"/>
  <c r="N23" i="3"/>
  <c r="O23" i="3" s="1"/>
  <c r="N26" i="3"/>
  <c r="O26" i="3" s="1"/>
  <c r="N14" i="3"/>
  <c r="O14" i="3" s="1"/>
  <c r="M43" i="3"/>
  <c r="B41" i="1" s="1"/>
  <c r="N11" i="3"/>
  <c r="C43" i="3"/>
  <c r="B33" i="1" s="1"/>
  <c r="D11" i="3"/>
  <c r="E11" i="3" s="1"/>
  <c r="S12" i="3"/>
  <c r="Q43" i="3"/>
  <c r="B36" i="1" s="1"/>
  <c r="D12" i="3"/>
  <c r="B43" i="3"/>
  <c r="B32" i="1" l="1"/>
  <c r="J43" i="3"/>
  <c r="B46" i="1" s="1"/>
  <c r="I43" i="3"/>
  <c r="O11" i="3"/>
  <c r="O43" i="3" s="1"/>
  <c r="B42" i="1" s="1"/>
  <c r="N43" i="3"/>
  <c r="D43" i="3"/>
  <c r="E12" i="3"/>
  <c r="E43" i="3" s="1"/>
  <c r="B34" i="1" s="1"/>
  <c r="S43" i="3"/>
  <c r="T12" i="3"/>
  <c r="T43" i="3" s="1"/>
  <c r="B38" i="1" s="1"/>
</calcChain>
</file>

<file path=xl/sharedStrings.xml><?xml version="1.0" encoding="utf-8"?>
<sst xmlns="http://schemas.openxmlformats.org/spreadsheetml/2006/main" count="176" uniqueCount="144">
  <si>
    <t xml:space="preserve">Instructions: </t>
  </si>
  <si>
    <t>Inputs:</t>
  </si>
  <si>
    <t>Island</t>
  </si>
  <si>
    <t>Oahu</t>
  </si>
  <si>
    <t>Solar Water Heater:</t>
  </si>
  <si>
    <t>Electric</t>
  </si>
  <si>
    <t xml:space="preserve"> </t>
  </si>
  <si>
    <t>Outputs:</t>
  </si>
  <si>
    <t>Water heater costs (annualized):</t>
  </si>
  <si>
    <t>Solar</t>
  </si>
  <si>
    <t xml:space="preserve">Heat Pump </t>
  </si>
  <si>
    <t>Identifying Information:</t>
  </si>
  <si>
    <t>Address of Home:</t>
  </si>
  <si>
    <t>Tax Map Key:</t>
  </si>
  <si>
    <t>County Bldg. Permit Appl. No.:</t>
  </si>
  <si>
    <t>Date:</t>
  </si>
  <si>
    <t>Signature:</t>
  </si>
  <si>
    <t>Business Address:</t>
  </si>
  <si>
    <t>Phone:</t>
  </si>
  <si>
    <t>Comments or Notes:</t>
  </si>
  <si>
    <t>Estimated Hot Water Use</t>
  </si>
  <si>
    <t>Energy Rates</t>
  </si>
  <si>
    <t>Hawaii</t>
  </si>
  <si>
    <t>Kauai</t>
  </si>
  <si>
    <t>Lanai</t>
  </si>
  <si>
    <t>Maui</t>
  </si>
  <si>
    <t>Molokai</t>
  </si>
  <si>
    <t>Energy to heat water:</t>
  </si>
  <si>
    <t>Parameters for calculations</t>
  </si>
  <si>
    <t>Gas tankless</t>
  </si>
  <si>
    <t xml:space="preserve">     Estimated life (years):</t>
  </si>
  <si>
    <t>Technology</t>
  </si>
  <si>
    <t>(years)</t>
  </si>
  <si>
    <t>Estimated Technology Life</t>
  </si>
  <si>
    <t xml:space="preserve">      Electric (dollar/kWh)</t>
  </si>
  <si>
    <t xml:space="preserve">     Gas (dollar/therm)</t>
  </si>
  <si>
    <t xml:space="preserve">      Gas (therm/gallon)</t>
  </si>
  <si>
    <t xml:space="preserve">      Electric (kWh/gallon)</t>
  </si>
  <si>
    <t xml:space="preserve">Entered values </t>
  </si>
  <si>
    <t>Present value calculation</t>
  </si>
  <si>
    <t>Heat pump</t>
  </si>
  <si>
    <t>Discount rate</t>
  </si>
  <si>
    <t>Energy inflation rate</t>
  </si>
  <si>
    <t>Year</t>
  </si>
  <si>
    <t>Total</t>
  </si>
  <si>
    <t>Capital</t>
  </si>
  <si>
    <t>Heat Pump</t>
  </si>
  <si>
    <t>Energy</t>
  </si>
  <si>
    <t>Gas Tankless</t>
  </si>
  <si>
    <t>https://fred.stlouisfed.org/series/MORTGAGE30US</t>
  </si>
  <si>
    <t>http://dbedt.hawaii.gov/economic/databook/data_book_time_series/</t>
  </si>
  <si>
    <t xml:space="preserve">    Total energy cost</t>
  </si>
  <si>
    <t xml:space="preserve">    Total capital cost</t>
  </si>
  <si>
    <t>Dollars/kWh</t>
  </si>
  <si>
    <t>Dollars/therm</t>
  </si>
  <si>
    <t>Water Heating Life Cycle Cost Comparison (LCCC)</t>
  </si>
  <si>
    <t>30-Year Present Value</t>
  </si>
  <si>
    <t>Solar Water Heater</t>
  </si>
  <si>
    <t>Electric Resistance Water Heater</t>
  </si>
  <si>
    <t>Heat Pump Water Heater</t>
  </si>
  <si>
    <t>Requested Variance Water Heater</t>
  </si>
  <si>
    <t>Default values</t>
  </si>
  <si>
    <t>Gas-Tankless Instantaneous</t>
  </si>
  <si>
    <t>Estimated Hot Water Use (gallons/year)</t>
  </si>
  <si>
    <t>Electric Resistance</t>
  </si>
  <si>
    <t xml:space="preserve">    Rebate/tax credit (dollars)</t>
  </si>
  <si>
    <t xml:space="preserve">    Estimated life (years):</t>
  </si>
  <si>
    <t>Equipment inflation rate</t>
  </si>
  <si>
    <t>Annual maintenance cost (% of average annual equipment cost)</t>
  </si>
  <si>
    <t>Salvage value</t>
  </si>
  <si>
    <r>
      <rPr>
        <u/>
        <sz val="9"/>
        <rFont val="Calibri"/>
        <family val="2"/>
      </rPr>
      <t>Step 2:</t>
    </r>
    <r>
      <rPr>
        <sz val="9"/>
        <rFont val="Calibri"/>
        <family val="2"/>
      </rPr>
      <t xml:space="preserve"> Complete the identifying information on page 2. </t>
    </r>
  </si>
  <si>
    <t xml:space="preserve"> 
 </t>
  </si>
  <si>
    <t xml:space="preserve"> 
 </t>
  </si>
  <si>
    <t xml:space="preserve">     Value of Fed. tax credit  (dollars)</t>
  </si>
  <si>
    <t xml:space="preserve">     Installed cost (dollars)</t>
  </si>
  <si>
    <t xml:space="preserve">    Installed cost (dollars)</t>
  </si>
  <si>
    <t xml:space="preserve">    Present value of costs</t>
  </si>
  <si>
    <t xml:space="preserve"> 
 </t>
  </si>
  <si>
    <r>
      <t xml:space="preserve">Analysis* performed </t>
    </r>
    <r>
      <rPr>
        <b/>
        <sz val="9"/>
        <rFont val="Calibri"/>
        <family val="2"/>
      </rPr>
      <t>FOR</t>
    </r>
    <r>
      <rPr>
        <sz val="9"/>
        <rFont val="Calibri"/>
        <family val="2"/>
      </rPr>
      <t>: (Name):</t>
    </r>
  </si>
  <si>
    <r>
      <t xml:space="preserve">Analysis* performed </t>
    </r>
    <r>
      <rPr>
        <b/>
        <sz val="9"/>
        <rFont val="Calibri"/>
        <family val="2"/>
      </rPr>
      <t>BY</t>
    </r>
    <r>
      <rPr>
        <sz val="9"/>
        <rFont val="Calibri"/>
        <family val="2"/>
      </rPr>
      <t xml:space="preserve"> (Name):</t>
    </r>
  </si>
  <si>
    <t xml:space="preserve">Approx. installed cost (in Hawaii) </t>
  </si>
  <si>
    <t>Email:</t>
  </si>
  <si>
    <t>https://hawaiienergy.com/for-homes/solar-water-heating/the-cost-of-a-solar-water-heating-system</t>
  </si>
  <si>
    <t>https://remdb.nrel.gov/measures.php?gId=6&amp;ctId=270</t>
  </si>
  <si>
    <t>Notes</t>
  </si>
  <si>
    <t>Gallons/Year</t>
  </si>
  <si>
    <t>Notes and sources are on the "Notes" tab.</t>
  </si>
  <si>
    <t xml:space="preserve">     Energy factor </t>
  </si>
  <si>
    <t xml:space="preserve">    Energy Factor</t>
  </si>
  <si>
    <t>Notes 
(see "Notes" tab)</t>
  </si>
  <si>
    <t>Salvage value.  After the estimated lifespan of the equipment, there will be one or more replacements during the 30 year period.  At the end of 30 years, any remaining value (i.e. salvage value) is subtracted at  the 30th year.</t>
  </si>
  <si>
    <t>Annual Costs</t>
  </si>
  <si>
    <t>https://dbedt.hawaii.gov/economic/energy-trends-2/</t>
  </si>
  <si>
    <t>https://www.hawaiigas.com/customer-service/rates-and-tariffs/</t>
  </si>
  <si>
    <t>https://www.eia.gov/dnav/ng/ng_pri_sum_a_EPG0_PRS_DMcf_m.htm; https://www.eia.gov/dnav/ng/ng_cons_heat_a_EPG0_VGTH_btucf_a.htm</t>
  </si>
  <si>
    <t>Present value of costs</t>
  </si>
  <si>
    <t>note number indexing (nonprinting)</t>
  </si>
  <si>
    <t>One British Thermal Unit (Btu) is the amount of energy it takes to raise one pound of water by one degree Fahrenheit. The assumed input and output water temperatures (used by Hawaii Energy) are 75°F and 130°F, respectively. One gallon of water weighs approximately 8.34 pounds. So, to heat one gallon of water from 75°F to 130°F (55°F) requires 459 Btu. One kWh is equal to 3,413 Btu; one therm is equal to 99,976 Btu. So it takes approximately 0.134 kWh or 0.00459 therms to heat a gallon of water the specified amount in Hawaii.</t>
  </si>
  <si>
    <t>Links are provided below their associated Notes.</t>
  </si>
  <si>
    <t>The default technology costs for heat pump, gas tankless, and electric are from the National Residential Efficiency Measures Database, high end of range (i.e. Hawaii). Price quote from installation contractor may be entered into the red section. Quote must be justified, documented, and substantiated.</t>
  </si>
  <si>
    <t>*</t>
  </si>
  <si>
    <r>
      <t>A</t>
    </r>
    <r>
      <rPr>
        <sz val="8"/>
        <rFont val="Calibri"/>
        <family val="2"/>
      </rPr>
      <t>nalysis must be performed by an architect or mechanical engineer licensed in Hawaii under HRS Chapter 464.</t>
    </r>
  </si>
  <si>
    <t>Underwriters Laboratory Inc. and other Nationally Recognized Testing Laboratories are certified by the United States Department of Labor, Occupational Safety and Health Administration, Nationally Recognized Laboratory Program.</t>
  </si>
  <si>
    <t>The lifespan required to be used (HRS 196-6.5) for solar water heaters is 15 years. Therefore the calculations include replacement at the end of the 15th year. (Note: although not usable in the application for a variance, the Estimated Useful Life for solar water heaters in Hawaii Energy publications is 18 years.)</t>
  </si>
  <si>
    <t>Since maintenance will vary by location, technology, and usage, and will affect equipment life, they have not been included in this calculator.</t>
  </si>
  <si>
    <t>Energy Factor</t>
  </si>
  <si>
    <t>Solar Water Heater - thermosiphon or DC w/PV</t>
  </si>
  <si>
    <t>Solar Water Heater - grid powered pump</t>
  </si>
  <si>
    <t xml:space="preserve">Price quote for a solar water heating system (designed for solar fraction of not less than 90%, installed at the residence) should be entered into the red section. Quote must be justified, documented, and substantiated. </t>
  </si>
  <si>
    <t>Price quote for solar water heating system (designed for solar fraction of not less than 90%) at the residence.</t>
  </si>
  <si>
    <t>May not exceed 15 years, per HRS 196-6.5.</t>
  </si>
  <si>
    <t>The cells below will auto-fill based on entries in the section above.</t>
  </si>
  <si>
    <t>DO NOT MODIFY THE OUTPUT RESULTS.</t>
  </si>
  <si>
    <t xml:space="preserve">
</t>
  </si>
  <si>
    <t xml:space="preserve"> 
</t>
  </si>
  <si>
    <r>
      <rPr>
        <sz val="9"/>
        <color indexed="8"/>
        <rFont val="Calibri"/>
        <family val="2"/>
      </rPr>
      <t>This calculator is used to compare</t>
    </r>
    <r>
      <rPr>
        <sz val="9"/>
        <rFont val="Calibri"/>
        <family val="2"/>
      </rPr>
      <t xml:space="preserve"> the water heating life cycle cost of a solar water heater to a HEAT PUMP or ELECTRIC resistance water heater (Hawaii Revised Statutes §196-6.5) if Justification #1 was selected.</t>
    </r>
  </si>
  <si>
    <t>This calculator is for use if Justification #1 or #3 was selected on the Variance Form. This attachment is not required if Justification #2 was selected on the Variance Form.</t>
  </si>
  <si>
    <r>
      <rPr>
        <sz val="9"/>
        <color rgb="FF000000"/>
        <rFont val="Calibri"/>
        <family val="2"/>
      </rPr>
      <t>This calculator is used to compare w</t>
    </r>
    <r>
      <rPr>
        <sz val="9"/>
        <color indexed="8"/>
        <rFont val="Calibri"/>
        <family val="2"/>
      </rPr>
      <t>ater heating life cycle cost of a solar water heater to a demand water heater device (i.e. a gas-tankless instantaneous water heater that provides hot water only as it is needed and is certified by Underwriters Laboratories or another Nationally Recognized Testing Laboratory), provided that at least one other gas appliance is installed in the dwelling (Hawaii Revised Statutes §196-6.5) if Justification #3 was selected.</t>
    </r>
  </si>
  <si>
    <t>The Energy Factor for solar water heaters is the minimum efficiency required for solar water heater systems that comply with the standards "to provide a minimum of 90% of the annual average water heating load" (i.e.  for 10 units of heat, only one unit will have been provided by electricity), established by the Public Utilities Commission in accordance with Hawaii Revised Statutes Section 269-44.  A different, site-specific energy factor from the installation contractor may be entered into the red section and must be justified, documented, and substantiated.</t>
  </si>
  <si>
    <t>Note 17</t>
  </si>
  <si>
    <t>Note 18</t>
  </si>
  <si>
    <t>Some versions of Excel may display numbers instead of island names. If this happens, here is the list of numbers associated with each island:
    1 = Hawai‘i
    2 = Kaua‘i
    3 = Lāna‘i
    4 = Maui
    5 = Moloka‘i
    6 = O‘ahu</t>
  </si>
  <si>
    <t>Some versions of Excel may display numbers instead of the name of the requested variance water heater. If this happens, here is the list of numbers associated with each requested variance water heater:
    1 = Electric Resistance
    2 = Gas Tankless
    3 = Heat Pump</t>
  </si>
  <si>
    <t>Tax credit: 30%</t>
  </si>
  <si>
    <t>(PROFESSIONAL STAMP)</t>
  </si>
  <si>
    <t>https://www.osha.gov/nationally-recognized-testing-laboratory-program/current-list-of-nrtls</t>
  </si>
  <si>
    <t>The Uniform Energy Factor for heat pumps in Hawaii is 3.45, per Hawaii Energy 2023 Program Year TRM. Assumes less than 55 gal. water heater. This replaces the former "coefficient of performance."</t>
  </si>
  <si>
    <t>femp-solar-hot-water-system-calculator-june-2023.xlsx (live.com)</t>
  </si>
  <si>
    <t>Energy Factor is based on the amount of hot water produced per unit of fuel consumed.  Electric and gas values (0.92 and 0.67) are from the United States Department of Energy's Energy Cost Calculator (June 2023).</t>
  </si>
  <si>
    <r>
      <rPr>
        <b/>
        <sz val="9"/>
        <rFont val="Calibri"/>
        <family val="2"/>
      </rPr>
      <t>NOTE</t>
    </r>
    <r>
      <rPr>
        <sz val="9"/>
        <rFont val="Calibri"/>
        <family val="2"/>
      </rPr>
      <t xml:space="preserve">:  "Default" values are provided in the gray right column.  Default values of the variables are from the "Lookup Tables" tab below.  If an entered value is different from the default value, the cell will be orange.  </t>
    </r>
    <r>
      <rPr>
        <b/>
        <sz val="9"/>
        <color rgb="FFFF0000"/>
        <rFont val="Calibri"/>
        <family val="2"/>
      </rPr>
      <t>Variations from the default value must be explained in the Comments box (cell B61, page 2 when printed out), along with the source of the new data.  All sources must be current and not confidential.  If no explanation is given, the request will be DENIED.</t>
    </r>
  </si>
  <si>
    <r>
      <rPr>
        <u/>
        <sz val="9"/>
        <rFont val="Calibri"/>
        <family val="2"/>
      </rPr>
      <t>Step 3:</t>
    </r>
    <r>
      <rPr>
        <sz val="9"/>
        <rFont val="Calibri"/>
        <family val="2"/>
      </rPr>
      <t xml:space="preserve"> </t>
    </r>
    <r>
      <rPr>
        <b/>
        <sz val="9"/>
        <color rgb="FFFF0000"/>
        <rFont val="Calibri"/>
        <family val="2"/>
      </rPr>
      <t>Submit PDF</t>
    </r>
    <r>
      <rPr>
        <sz val="9"/>
        <rFont val="Calibri"/>
        <family val="2"/>
      </rPr>
      <t xml:space="preserve"> of the </t>
    </r>
    <r>
      <rPr>
        <b/>
        <sz val="9"/>
        <color rgb="FFFF0000"/>
        <rFont val="Calibri"/>
        <family val="2"/>
      </rPr>
      <t>SIGNED AND STAMPED</t>
    </r>
    <r>
      <rPr>
        <sz val="9"/>
        <rFont val="Calibri"/>
        <family val="2"/>
      </rPr>
      <t xml:space="preserve"> analysis with the variance application.</t>
    </r>
  </si>
  <si>
    <t>Please ensure that the variance water heater selected in row 23 matches the technology selected on the Variance Request.</t>
  </si>
  <si>
    <t># of BEDROOMS</t>
  </si>
  <si>
    <r>
      <t xml:space="preserve">The estimated life spans for electric resistance, heat pumps, and gas tankless technologies are from the National Residential Efficiency Measures Database:  electric resistance, </t>
    </r>
    <r>
      <rPr>
        <sz val="9"/>
        <color rgb="FFFF0000"/>
        <rFont val="Calibri"/>
        <family val="2"/>
        <scheme val="minor"/>
      </rPr>
      <t>15</t>
    </r>
    <r>
      <rPr>
        <sz val="9"/>
        <color theme="1"/>
        <rFont val="Calibri"/>
        <family val="2"/>
        <scheme val="minor"/>
      </rPr>
      <t xml:space="preserve"> years; heat pumps, </t>
    </r>
    <r>
      <rPr>
        <sz val="9"/>
        <color rgb="FFFF0000"/>
        <rFont val="Calibri"/>
        <family val="2"/>
        <scheme val="minor"/>
      </rPr>
      <t>15</t>
    </r>
    <r>
      <rPr>
        <sz val="9"/>
        <color theme="1"/>
        <rFont val="Calibri"/>
        <family val="2"/>
        <scheme val="minor"/>
      </rPr>
      <t xml:space="preserve"> years; gas tankless, 20 years.  Although the worksheet allows calculations with different life spans, any filing that deviates from the default must be justified, documented, and substantiated.</t>
    </r>
  </si>
  <si>
    <t>Energy rates are average residential rates, average of April 2024-March 2025 for all islands. Gas rates are from Hawaii Gas rates for residential, effective July 2, 2025.</t>
  </si>
  <si>
    <t>Discount rate is based on 30 year fixed mortgage rate (January 1, 2025-July 31, 2025). From Federal Reserve Bank of St. Louis.</t>
  </si>
  <si>
    <t>Equipment inflation rate is based on Honolulu CPI for durables, 2019-2024 compound annual average.</t>
  </si>
  <si>
    <r>
      <t xml:space="preserve">Energy Inflation rate is based the Honolulu Consumer Price Index from 2019-2024, </t>
    </r>
    <r>
      <rPr>
        <sz val="9"/>
        <rFont val="Calibri"/>
        <family val="2"/>
        <scheme val="minor"/>
      </rPr>
      <t xml:space="preserve">compound </t>
    </r>
    <r>
      <rPr>
        <sz val="9"/>
        <color theme="1"/>
        <rFont val="Calibri"/>
        <family val="2"/>
        <scheme val="minor"/>
      </rPr>
      <t>annual average growth.  Electricity inflation rate is for household electricity and gas inflation rate is for utility (piped) gas.</t>
    </r>
  </si>
  <si>
    <r>
      <rPr>
        <sz val="9"/>
        <rFont val="Calibri"/>
        <family val="2"/>
        <scheme val="minor"/>
      </rPr>
      <t>Compound</t>
    </r>
    <r>
      <rPr>
        <sz val="9"/>
        <color theme="1"/>
        <rFont val="Calibri"/>
        <family val="2"/>
        <scheme val="minor"/>
      </rPr>
      <t xml:space="preserve"> annual average growth for construction cost = 4.213%; water heater cost is based on Honolulu CPI for durable goods, annual average growth for durable goods = 2.328%.  Installation inflation = (4.213+ 2.328)/2= 3.271% a year, assuming 50% labor. Data source: DBEDT, Quarterly Statistical and Economic Report, Table E-6, and 2019 Data Book Table 14.6.</t>
    </r>
  </si>
  <si>
    <t>Gallons per year are from SoCalGas' 2025 Residential Solar Thermal Water Heater Rebate Single Family SHW System Sizing Table.</t>
  </si>
  <si>
    <t>2025 Residential Solar Thermal Water Heater Rebate</t>
  </si>
  <si>
    <r>
      <t xml:space="preserve">Number of </t>
    </r>
    <r>
      <rPr>
        <b/>
        <sz val="9"/>
        <color rgb="FFFF0000"/>
        <rFont val="Calibri"/>
        <family val="2"/>
        <scheme val="minor"/>
      </rPr>
      <t>BEDROOMS</t>
    </r>
  </si>
  <si>
    <r>
      <t xml:space="preserve">For a solar water heater variance request to be approved:
• This LCCC must be completed by a Hawaii licensed mechanical engineer or architect.
• The information provided must be true, and calculations accurate and verifiable.  
• This LCCC must show that the total annualized cost of the device that you want to install (chosen below in the "Requested Variance Technology" drop down menu) is less than the cost of a solar water heater with a life cycle of 15 years.
• A </t>
    </r>
    <r>
      <rPr>
        <b/>
        <sz val="9"/>
        <color rgb="FFFF0000"/>
        <rFont val="Calibri"/>
        <family val="2"/>
        <scheme val="minor"/>
      </rPr>
      <t>FLOOR PLAN</t>
    </r>
    <r>
      <rPr>
        <sz val="9"/>
        <rFont val="Calibri"/>
        <family val="2"/>
        <scheme val="minor"/>
      </rPr>
      <t xml:space="preserve"> showing the number of bedrooms must be submitted.</t>
    </r>
  </si>
  <si>
    <r>
      <rPr>
        <u/>
        <sz val="9"/>
        <rFont val="Calibri"/>
        <family val="2"/>
      </rPr>
      <t>Step 1</t>
    </r>
    <r>
      <rPr>
        <sz val="9"/>
        <rFont val="Calibri"/>
        <family val="2"/>
      </rPr>
      <t xml:space="preserve">: Enter values into the bold red box below. Enter the number of </t>
    </r>
    <r>
      <rPr>
        <b/>
        <sz val="9"/>
        <color rgb="FFFF0000"/>
        <rFont val="Calibri"/>
        <family val="2"/>
      </rPr>
      <t>BEDROOMS</t>
    </r>
    <r>
      <rPr>
        <sz val="9"/>
        <rFont val="Calibri"/>
        <family val="2"/>
      </rPr>
      <t xml:space="preserve">. Select island. For solar water heater: enter cost. Value of the federal income tax credit will be automaticaly calculated; if different, explain in comments box on page 2. Select Energy Factor (see note). Estimated life may not exceed 15 years. For requested technology type: enter cost, tax credit and rebate (if any), Energy Factor, and estimated life of the water heater device that you want to install. </t>
    </r>
    <r>
      <rPr>
        <b/>
        <sz val="9"/>
        <color rgb="FFFF0000"/>
        <rFont val="Calibri"/>
        <family val="2"/>
      </rPr>
      <t>THE HAWAII STATE ENERGY OFFICE MAY ASK FOR VERIFICATION OF CLAIMS, INCLUDING PRICE QUOTES.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</si>
</sst>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4" formatCode="_(&quot;$&quot;* #,##0.00_);_(&quot;$&quot;* \(#,##0.00\);_(&quot;$&quot;* &quot;-&quot;??_);_(@_)"/>
    <numFmt numFmtId="43" formatCode="_(* #,##0.00_);_(* \(#,##0.00\);_(* &quot;-&quot;??_);_(@_)"/>
    <numFmt numFmtId="164" formatCode="0.000"/>
    <numFmt numFmtId="165" formatCode="_(* #,##0_);_(* \(#,##0\);_(* &quot;-&quot;??_);_(@_)"/>
    <numFmt numFmtId="166" formatCode="0.00000"/>
    <numFmt numFmtId="167" formatCode="_(&quot;$&quot;* #,##0_);_(&quot;$&quot;* \(#,##0\);_(&quot;$&quot;* &quot;-&quot;??_);_(@_)"/>
    <numFmt numFmtId="168" formatCode="#."/>
    <numFmt numFmtId="169" formatCode="0.0000"/>
    <numFmt numFmtId="170" formatCode="0.0"/>
  </numFmts>
  <fonts count="32" x14ac:knownFonts="1">
    <font>
      <sz val="11"/>
      <color theme="1"/>
      <name val="Calibri"/>
      <family val="2"/>
      <scheme val="minor"/>
    </font>
    <font>
      <sz val="9"/>
      <color indexed="8"/>
      <name val="Calibri"/>
      <family val="2"/>
    </font>
    <font>
      <sz val="9"/>
      <name val="Calibri"/>
      <family val="2"/>
    </font>
    <font>
      <b/>
      <sz val="9"/>
      <name val="Calibri"/>
      <family val="2"/>
    </font>
    <font>
      <u/>
      <sz val="9"/>
      <name val="Calibri"/>
      <family val="2"/>
    </font>
    <font>
      <sz val="8"/>
      <name val="Calibri"/>
      <family val="2"/>
    </font>
    <font>
      <sz val="10"/>
      <name val="Arial"/>
      <family val="2"/>
    </font>
    <font>
      <sz val="11"/>
      <color theme="1"/>
      <name val="Calibri"/>
      <family val="2"/>
      <scheme val="minor"/>
    </font>
    <font>
      <u/>
      <sz val="11"/>
      <color theme="10"/>
      <name val="Calibri"/>
      <family val="2"/>
      <scheme val="minor"/>
    </font>
    <font>
      <sz val="9"/>
      <color theme="1"/>
      <name val="Calibri"/>
      <family val="2"/>
      <scheme val="minor"/>
    </font>
    <font>
      <b/>
      <sz val="11"/>
      <name val="Calibri"/>
      <family val="2"/>
      <scheme val="minor"/>
    </font>
    <font>
      <b/>
      <sz val="11"/>
      <color theme="1"/>
      <name val="Calibri"/>
      <family val="2"/>
      <scheme val="minor"/>
    </font>
    <font>
      <sz val="10"/>
      <color theme="1"/>
      <name val="Calibri"/>
      <family val="2"/>
      <scheme val="minor"/>
    </font>
    <font>
      <b/>
      <sz val="12"/>
      <name val="Calibri"/>
      <family val="2"/>
      <scheme val="minor"/>
    </font>
    <font>
      <sz val="10"/>
      <name val="Calibri"/>
      <family val="2"/>
      <scheme val="minor"/>
    </font>
    <font>
      <b/>
      <sz val="12"/>
      <color theme="1"/>
      <name val="Calibri"/>
      <family val="2"/>
      <scheme val="minor"/>
    </font>
    <font>
      <sz val="9"/>
      <name val="Calibri"/>
      <family val="2"/>
      <scheme val="minor"/>
    </font>
    <font>
      <b/>
      <sz val="9"/>
      <name val="Calibri"/>
      <family val="2"/>
      <scheme val="minor"/>
    </font>
    <font>
      <b/>
      <sz val="9"/>
      <color theme="1"/>
      <name val="Calibri"/>
      <family val="2"/>
      <scheme val="minor"/>
    </font>
    <font>
      <u/>
      <sz val="10"/>
      <color theme="10"/>
      <name val="Calibri"/>
      <family val="2"/>
      <scheme val="minor"/>
    </font>
    <font>
      <b/>
      <sz val="10"/>
      <name val="Calibri"/>
      <family val="2"/>
      <scheme val="minor"/>
    </font>
    <font>
      <b/>
      <sz val="10"/>
      <color theme="1"/>
      <name val="Calibri"/>
      <family val="2"/>
      <scheme val="minor"/>
    </font>
    <font>
      <i/>
      <sz val="9"/>
      <color theme="1"/>
      <name val="Calibri"/>
      <family val="2"/>
      <scheme val="minor"/>
    </font>
    <font>
      <u/>
      <sz val="9"/>
      <color theme="10"/>
      <name val="Calibri"/>
      <family val="2"/>
      <scheme val="minor"/>
    </font>
    <font>
      <sz val="9"/>
      <color rgb="FF000000"/>
      <name val="Calibri"/>
      <family val="2"/>
      <scheme val="minor"/>
    </font>
    <font>
      <sz val="9"/>
      <color rgb="FF000000"/>
      <name val="Calibri"/>
      <family val="2"/>
    </font>
    <font>
      <b/>
      <sz val="9"/>
      <color rgb="FFFF0000"/>
      <name val="Calibri"/>
      <family val="2"/>
    </font>
    <font>
      <b/>
      <sz val="10"/>
      <color rgb="FFFF0000"/>
      <name val="Calibri"/>
      <family val="2"/>
      <scheme val="minor"/>
    </font>
    <font>
      <sz val="9"/>
      <color rgb="FFFF0000"/>
      <name val="Calibri"/>
      <family val="2"/>
      <scheme val="minor"/>
    </font>
    <font>
      <sz val="10"/>
      <color theme="1"/>
      <name val="Calibri"/>
      <family val="2"/>
    </font>
    <font>
      <b/>
      <sz val="9"/>
      <color rgb="FF00B050"/>
      <name val="Calibri"/>
      <family val="2"/>
      <scheme val="minor"/>
    </font>
    <font>
      <b/>
      <sz val="9"/>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s>
  <borders count="28">
    <border>
      <left/>
      <right/>
      <top/>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ouble">
        <color indexed="64"/>
      </top>
      <bottom/>
      <diagonal/>
    </border>
    <border>
      <left style="thin">
        <color indexed="64"/>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style="hair">
        <color theme="1"/>
      </top>
      <bottom style="hair">
        <color theme="1"/>
      </bottom>
      <diagonal/>
    </border>
    <border>
      <left/>
      <right/>
      <top style="hair">
        <color theme="1"/>
      </top>
      <bottom style="hair">
        <color theme="1"/>
      </bottom>
      <diagonal/>
    </border>
    <border>
      <left/>
      <right/>
      <top/>
      <bottom style="hair">
        <color theme="1"/>
      </bottom>
      <diagonal/>
    </border>
    <border>
      <left style="thick">
        <color rgb="FFFF0000"/>
      </left>
      <right style="thick">
        <color rgb="FFFF0000"/>
      </right>
      <top/>
      <bottom style="hair">
        <color theme="1"/>
      </bottom>
      <diagonal/>
    </border>
    <border>
      <left/>
      <right/>
      <top style="thin">
        <color theme="1"/>
      </top>
      <bottom style="thin">
        <color indexed="64"/>
      </bottom>
      <diagonal/>
    </border>
    <border>
      <left style="thick">
        <color rgb="FFFF0000"/>
      </left>
      <right style="thick">
        <color rgb="FFFF0000"/>
      </right>
      <top style="hair">
        <color theme="1"/>
      </top>
      <bottom style="thick">
        <color rgb="FFFF0000"/>
      </bottom>
      <diagonal/>
    </border>
    <border>
      <left style="thick">
        <color rgb="FFFF0000"/>
      </left>
      <right/>
      <top/>
      <bottom/>
      <diagonal/>
    </border>
    <border>
      <left style="thick">
        <color rgb="FFFF0000"/>
      </left>
      <right style="thick">
        <color rgb="FFFF0000"/>
      </right>
      <top style="hair">
        <color theme="1"/>
      </top>
      <bottom/>
      <diagonal/>
    </border>
  </borders>
  <cellStyleXfs count="6">
    <xf numFmtId="0" fontId="0" fillId="0" borderId="0"/>
    <xf numFmtId="43" fontId="7"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8" fillId="0" borderId="0" applyNumberFormat="0" applyFill="0" applyBorder="0" applyAlignment="0" applyProtection="0"/>
    <xf numFmtId="9" fontId="7" fillId="0" borderId="0" applyFont="0" applyFill="0" applyBorder="0" applyAlignment="0" applyProtection="0"/>
  </cellStyleXfs>
  <cellXfs count="194">
    <xf numFmtId="0" fontId="0" fillId="0" borderId="0" xfId="0"/>
    <xf numFmtId="0" fontId="9" fillId="0" borderId="0" xfId="0" applyFont="1" applyAlignment="1">
      <alignment vertical="top"/>
    </xf>
    <xf numFmtId="0" fontId="0" fillId="0" borderId="1" xfId="0" applyBorder="1" applyAlignment="1">
      <alignment vertical="top"/>
    </xf>
    <xf numFmtId="0" fontId="0" fillId="0" borderId="0" xfId="0" applyAlignment="1">
      <alignment vertical="center"/>
    </xf>
    <xf numFmtId="164" fontId="12" fillId="0" borderId="2" xfId="0" applyNumberFormat="1" applyFont="1" applyBorder="1" applyAlignment="1">
      <alignment vertical="center"/>
    </xf>
    <xf numFmtId="166" fontId="12" fillId="0" borderId="1" xfId="0" applyNumberFormat="1" applyFont="1" applyBorder="1" applyAlignment="1">
      <alignment vertical="center"/>
    </xf>
    <xf numFmtId="0" fontId="13" fillId="0" borderId="0" xfId="0" applyFont="1" applyAlignment="1">
      <alignment vertical="top"/>
    </xf>
    <xf numFmtId="0" fontId="9" fillId="0" borderId="0" xfId="0" applyFont="1" applyAlignment="1">
      <alignment vertical="top" wrapText="1"/>
    </xf>
    <xf numFmtId="0" fontId="0" fillId="0" borderId="0" xfId="0" applyAlignment="1">
      <alignment vertical="top"/>
    </xf>
    <xf numFmtId="0" fontId="0" fillId="0" borderId="0" xfId="0" applyAlignment="1">
      <alignment vertical="top" wrapText="1"/>
    </xf>
    <xf numFmtId="0" fontId="14" fillId="0" borderId="0" xfId="0" applyFont="1" applyAlignment="1">
      <alignment horizontal="left" vertical="top" wrapText="1"/>
    </xf>
    <xf numFmtId="0" fontId="15" fillId="0" borderId="3" xfId="0" applyFont="1" applyBorder="1" applyAlignment="1">
      <alignment vertical="top"/>
    </xf>
    <xf numFmtId="0" fontId="14" fillId="0" borderId="0" xfId="0" applyFont="1" applyAlignment="1">
      <alignment vertical="top"/>
    </xf>
    <xf numFmtId="0" fontId="12" fillId="0" borderId="0" xfId="0" applyFont="1" applyAlignment="1">
      <alignment horizontal="center" vertical="top"/>
    </xf>
    <xf numFmtId="0" fontId="12" fillId="2" borderId="1" xfId="0" applyFont="1" applyFill="1" applyBorder="1" applyAlignment="1">
      <alignment horizontal="center" vertical="top"/>
    </xf>
    <xf numFmtId="0" fontId="16" fillId="0" borderId="0" xfId="0" applyFont="1" applyAlignment="1">
      <alignment vertical="top"/>
    </xf>
    <xf numFmtId="0" fontId="9" fillId="0" borderId="18" xfId="0" applyFont="1" applyBorder="1" applyAlignment="1" applyProtection="1">
      <alignment vertical="top"/>
      <protection locked="0"/>
    </xf>
    <xf numFmtId="0" fontId="9" fillId="0" borderId="19" xfId="0" applyFont="1" applyBorder="1" applyAlignment="1" applyProtection="1">
      <alignment horizontal="center" vertical="top"/>
      <protection locked="0"/>
    </xf>
    <xf numFmtId="0" fontId="17" fillId="0" borderId="0" xfId="0" applyFont="1" applyAlignment="1">
      <alignment vertical="top"/>
    </xf>
    <xf numFmtId="165" fontId="9" fillId="0" borderId="20" xfId="1" applyNumberFormat="1" applyFont="1" applyFill="1" applyBorder="1" applyAlignment="1" applyProtection="1">
      <alignment vertical="top"/>
      <protection locked="0"/>
    </xf>
    <xf numFmtId="0" fontId="9" fillId="2" borderId="21" xfId="0" applyFont="1" applyFill="1" applyBorder="1" applyAlignment="1">
      <alignment vertical="top"/>
    </xf>
    <xf numFmtId="165" fontId="16" fillId="0" borderId="20" xfId="1" applyNumberFormat="1" applyFont="1" applyFill="1" applyBorder="1" applyAlignment="1" applyProtection="1">
      <alignment vertical="top"/>
      <protection locked="0"/>
    </xf>
    <xf numFmtId="0" fontId="16" fillId="2" borderId="21" xfId="0" applyFont="1" applyFill="1" applyBorder="1" applyAlignment="1">
      <alignment vertical="top"/>
    </xf>
    <xf numFmtId="0" fontId="9" fillId="0" borderId="0" xfId="0" applyFont="1" applyAlignment="1">
      <alignment horizontal="left" vertical="top"/>
    </xf>
    <xf numFmtId="0" fontId="14" fillId="0" borderId="0" xfId="0" applyFont="1" applyAlignment="1">
      <alignment horizontal="left" vertical="top"/>
    </xf>
    <xf numFmtId="1" fontId="16" fillId="0" borderId="20" xfId="5" applyNumberFormat="1" applyFont="1" applyFill="1" applyBorder="1" applyAlignment="1" applyProtection="1">
      <alignment vertical="top"/>
      <protection locked="0"/>
    </xf>
    <xf numFmtId="9" fontId="9" fillId="0" borderId="0" xfId="1" applyNumberFormat="1" applyFont="1" applyFill="1" applyBorder="1" applyAlignment="1" applyProtection="1">
      <alignment vertical="top"/>
      <protection locked="0"/>
    </xf>
    <xf numFmtId="0" fontId="15" fillId="0" borderId="0" xfId="0" applyFont="1" applyAlignment="1">
      <alignment vertical="top"/>
    </xf>
    <xf numFmtId="0" fontId="12" fillId="0" borderId="0" xfId="0" applyFont="1" applyAlignment="1">
      <alignment vertical="top"/>
    </xf>
    <xf numFmtId="0" fontId="16" fillId="0" borderId="0" xfId="0" applyFont="1" applyAlignment="1">
      <alignment horizontal="right" vertical="top"/>
    </xf>
    <xf numFmtId="0" fontId="9" fillId="0" borderId="0" xfId="0" applyFont="1" applyAlignment="1" applyProtection="1">
      <alignment vertical="top"/>
      <protection locked="0"/>
    </xf>
    <xf numFmtId="0" fontId="16" fillId="0" borderId="0" xfId="0" applyFont="1" applyAlignment="1" applyProtection="1">
      <alignment vertical="top" wrapText="1"/>
      <protection locked="0"/>
    </xf>
    <xf numFmtId="0" fontId="17" fillId="0" borderId="0" xfId="0" applyFont="1" applyAlignment="1">
      <alignment horizontal="right" vertical="top"/>
    </xf>
    <xf numFmtId="0" fontId="12" fillId="0" borderId="0" xfId="0" applyFont="1" applyAlignment="1">
      <alignment horizontal="center" vertical="center" wrapText="1"/>
    </xf>
    <xf numFmtId="44" fontId="12" fillId="0" borderId="0" xfId="3" applyFont="1" applyFill="1" applyBorder="1" applyAlignment="1">
      <alignment vertical="top"/>
    </xf>
    <xf numFmtId="0" fontId="18" fillId="0" borderId="4" xfId="0" applyFont="1" applyBorder="1" applyAlignment="1">
      <alignment vertical="top"/>
    </xf>
    <xf numFmtId="0" fontId="9" fillId="0" borderId="5" xfId="0" applyFont="1" applyBorder="1" applyAlignment="1">
      <alignment vertical="top"/>
    </xf>
    <xf numFmtId="0" fontId="9" fillId="0" borderId="6" xfId="0" applyFont="1" applyBorder="1" applyAlignment="1">
      <alignment vertical="top"/>
    </xf>
    <xf numFmtId="41" fontId="9" fillId="0" borderId="7" xfId="0" applyNumberFormat="1" applyFont="1" applyBorder="1" applyAlignment="1">
      <alignment vertical="top"/>
    </xf>
    <xf numFmtId="0" fontId="9" fillId="0" borderId="8" xfId="0" applyFont="1" applyBorder="1" applyAlignment="1">
      <alignment vertical="top"/>
    </xf>
    <xf numFmtId="41" fontId="9" fillId="3" borderId="9" xfId="3" applyNumberFormat="1" applyFont="1" applyFill="1" applyBorder="1" applyAlignment="1">
      <alignment vertical="top"/>
    </xf>
    <xf numFmtId="41" fontId="9" fillId="0" borderId="5" xfId="3" applyNumberFormat="1" applyFont="1" applyBorder="1" applyAlignment="1">
      <alignment vertical="top"/>
    </xf>
    <xf numFmtId="41" fontId="9" fillId="0" borderId="7" xfId="3" applyNumberFormat="1" applyFont="1" applyBorder="1" applyAlignment="1">
      <alignment vertical="top"/>
    </xf>
    <xf numFmtId="0" fontId="17" fillId="0" borderId="4" xfId="0" applyFont="1" applyBorder="1" applyAlignment="1">
      <alignment vertical="top"/>
    </xf>
    <xf numFmtId="0" fontId="16" fillId="0" borderId="0" xfId="0" applyFont="1" applyAlignment="1" applyProtection="1">
      <alignment horizontal="left" vertical="top" wrapText="1"/>
      <protection locked="0"/>
    </xf>
    <xf numFmtId="0" fontId="9" fillId="2" borderId="22" xfId="5" applyNumberFormat="1" applyFont="1" applyFill="1" applyBorder="1" applyAlignment="1" applyProtection="1">
      <alignment vertical="top"/>
      <protection locked="0"/>
    </xf>
    <xf numFmtId="0" fontId="12" fillId="0" borderId="1" xfId="0" applyFont="1" applyBorder="1" applyAlignment="1">
      <alignment horizontal="center" vertical="center"/>
    </xf>
    <xf numFmtId="0" fontId="9" fillId="0" borderId="0" xfId="0" applyFont="1" applyAlignment="1">
      <alignment horizontal="left" vertical="top" indent="1"/>
    </xf>
    <xf numFmtId="0" fontId="16" fillId="0" borderId="21" xfId="0" applyFont="1" applyBorder="1" applyAlignment="1">
      <alignment horizontal="right" vertical="top"/>
    </xf>
    <xf numFmtId="0" fontId="12" fillId="0" borderId="0" xfId="0" applyFont="1" applyAlignment="1">
      <alignment horizontal="left" vertical="top"/>
    </xf>
    <xf numFmtId="2" fontId="9" fillId="0" borderId="23" xfId="5" applyNumberFormat="1" applyFont="1" applyFill="1" applyBorder="1" applyAlignment="1" applyProtection="1">
      <alignment vertical="top"/>
      <protection locked="0"/>
    </xf>
    <xf numFmtId="2" fontId="9" fillId="2" borderId="22" xfId="5" applyNumberFormat="1" applyFont="1" applyFill="1" applyBorder="1" applyAlignment="1" applyProtection="1">
      <alignment vertical="top"/>
      <protection locked="0"/>
    </xf>
    <xf numFmtId="0" fontId="16" fillId="0" borderId="0" xfId="0" applyFont="1" applyAlignment="1">
      <alignment horizontal="left" vertical="top" wrapText="1"/>
    </xf>
    <xf numFmtId="0" fontId="0" fillId="0" borderId="0" xfId="0" applyAlignment="1">
      <alignment horizontal="center" vertical="center" wrapText="1"/>
    </xf>
    <xf numFmtId="0" fontId="10" fillId="0" borderId="4" xfId="0" applyFont="1" applyBorder="1" applyAlignment="1">
      <alignment vertical="center"/>
    </xf>
    <xf numFmtId="0" fontId="12" fillId="0" borderId="0" xfId="0" applyFont="1" applyAlignment="1">
      <alignment horizontal="left" vertical="center"/>
    </xf>
    <xf numFmtId="0" fontId="12" fillId="0" borderId="10" xfId="0" applyFont="1" applyBorder="1" applyAlignment="1">
      <alignment vertical="center"/>
    </xf>
    <xf numFmtId="43" fontId="19" fillId="0" borderId="0" xfId="4" applyNumberFormat="1" applyFont="1" applyAlignment="1">
      <alignment horizontal="center" vertical="center"/>
    </xf>
    <xf numFmtId="0" fontId="12" fillId="0" borderId="0" xfId="0" applyFont="1" applyAlignment="1">
      <alignment vertical="center"/>
    </xf>
    <xf numFmtId="0" fontId="12" fillId="0" borderId="1" xfId="0" applyFont="1" applyBorder="1" applyAlignment="1">
      <alignment vertical="center"/>
    </xf>
    <xf numFmtId="0" fontId="0" fillId="0" borderId="2" xfId="0" applyBorder="1" applyAlignment="1">
      <alignment vertical="center"/>
    </xf>
    <xf numFmtId="0" fontId="0" fillId="0" borderId="1" xfId="0" applyBorder="1" applyAlignment="1">
      <alignment vertical="center"/>
    </xf>
    <xf numFmtId="0" fontId="14" fillId="0" borderId="1" xfId="0" applyFont="1" applyBorder="1" applyAlignment="1">
      <alignment horizontal="center" vertical="center"/>
    </xf>
    <xf numFmtId="43" fontId="19" fillId="0" borderId="0" xfId="4" applyNumberFormat="1" applyFont="1" applyAlignment="1">
      <alignment horizontal="left" vertical="center"/>
    </xf>
    <xf numFmtId="0" fontId="12" fillId="0" borderId="0" xfId="0" applyFont="1" applyAlignment="1">
      <alignment horizontal="center" vertical="center"/>
    </xf>
    <xf numFmtId="167" fontId="12" fillId="0" borderId="0" xfId="3" applyNumberFormat="1" applyFont="1" applyFill="1" applyBorder="1" applyAlignment="1">
      <alignment vertical="center"/>
    </xf>
    <xf numFmtId="0" fontId="14" fillId="0" borderId="3" xfId="0" applyFont="1" applyBorder="1" applyAlignment="1">
      <alignment vertical="center"/>
    </xf>
    <xf numFmtId="0" fontId="0" fillId="0" borderId="3" xfId="0" applyBorder="1" applyAlignment="1">
      <alignment horizontal="center" vertical="center"/>
    </xf>
    <xf numFmtId="0" fontId="0" fillId="0" borderId="0" xfId="0" applyAlignment="1">
      <alignment horizontal="center" vertical="center"/>
    </xf>
    <xf numFmtId="0" fontId="20" fillId="0" borderId="1" xfId="0" applyFont="1" applyBorder="1" applyAlignment="1">
      <alignment vertical="center" wrapText="1"/>
    </xf>
    <xf numFmtId="165" fontId="12" fillId="0" borderId="11" xfId="1" applyNumberFormat="1" applyFont="1" applyFill="1" applyBorder="1" applyAlignment="1">
      <alignment horizontal="right" vertical="center"/>
    </xf>
    <xf numFmtId="0" fontId="20" fillId="0" borderId="0" xfId="0" applyFont="1" applyAlignment="1">
      <alignment vertical="center"/>
    </xf>
    <xf numFmtId="0" fontId="12" fillId="0" borderId="24" xfId="0" applyFont="1" applyBorder="1" applyAlignment="1">
      <alignment horizontal="right" vertical="center"/>
    </xf>
    <xf numFmtId="0" fontId="14" fillId="0" borderId="2" xfId="0" applyFont="1" applyBorder="1" applyAlignment="1">
      <alignment vertical="center"/>
    </xf>
    <xf numFmtId="164" fontId="12" fillId="0" borderId="2" xfId="0" applyNumberFormat="1" applyFont="1" applyBorder="1" applyAlignment="1">
      <alignment horizontal="right" vertical="center"/>
    </xf>
    <xf numFmtId="0" fontId="14" fillId="0" borderId="0" xfId="0" applyFont="1" applyAlignment="1">
      <alignment horizontal="right" vertical="center"/>
    </xf>
    <xf numFmtId="0" fontId="14" fillId="0" borderId="8" xfId="0" applyFont="1" applyBorder="1" applyAlignment="1">
      <alignment vertical="center"/>
    </xf>
    <xf numFmtId="0" fontId="12" fillId="0" borderId="1" xfId="0" applyFont="1" applyBorder="1" applyAlignment="1">
      <alignment horizontal="right" vertical="center"/>
    </xf>
    <xf numFmtId="0" fontId="21" fillId="0" borderId="0" xfId="0" applyFont="1" applyAlignment="1">
      <alignment horizontal="left" vertical="center"/>
    </xf>
    <xf numFmtId="0" fontId="12" fillId="0" borderId="2" xfId="0" applyFont="1" applyBorder="1" applyAlignment="1">
      <alignment vertical="center"/>
    </xf>
    <xf numFmtId="0" fontId="0" fillId="0" borderId="0" xfId="0" applyAlignment="1">
      <alignment horizontal="right" vertical="center"/>
    </xf>
    <xf numFmtId="166" fontId="0" fillId="0" borderId="0" xfId="0" applyNumberFormat="1" applyAlignment="1">
      <alignment vertical="center"/>
    </xf>
    <xf numFmtId="169" fontId="0" fillId="0" borderId="0" xfId="0" applyNumberFormat="1" applyAlignment="1" applyProtection="1">
      <alignment horizontal="center" vertical="center"/>
      <protection locked="0"/>
    </xf>
    <xf numFmtId="169" fontId="0" fillId="0" borderId="1" xfId="0" applyNumberFormat="1" applyBorder="1" applyAlignment="1" applyProtection="1">
      <alignment horizontal="center" vertical="center"/>
      <protection locked="0"/>
    </xf>
    <xf numFmtId="0" fontId="9" fillId="0" borderId="0" xfId="0" applyFont="1" applyAlignment="1">
      <alignment horizontal="left" vertical="top" wrapText="1"/>
    </xf>
    <xf numFmtId="43" fontId="12" fillId="0" borderId="0" xfId="0" applyNumberFormat="1" applyFont="1" applyAlignment="1">
      <alignment vertical="top"/>
    </xf>
    <xf numFmtId="0" fontId="12" fillId="0" borderId="4" xfId="0" applyFont="1" applyBorder="1" applyAlignment="1">
      <alignment vertical="top"/>
    </xf>
    <xf numFmtId="0" fontId="12" fillId="0" borderId="2" xfId="0" applyFont="1" applyBorder="1" applyAlignment="1">
      <alignment horizontal="center" vertical="top"/>
    </xf>
    <xf numFmtId="0" fontId="12" fillId="0" borderId="5" xfId="0" applyFont="1" applyBorder="1" applyAlignment="1">
      <alignment horizontal="center" vertical="top"/>
    </xf>
    <xf numFmtId="43" fontId="12" fillId="0" borderId="0" xfId="0" applyNumberFormat="1" applyFont="1" applyAlignment="1">
      <alignment horizontal="center" vertical="top"/>
    </xf>
    <xf numFmtId="0" fontId="12" fillId="0" borderId="6" xfId="0" applyFont="1" applyBorder="1" applyAlignment="1">
      <alignment vertical="top"/>
    </xf>
    <xf numFmtId="0" fontId="12" fillId="0" borderId="7" xfId="0" applyFont="1" applyBorder="1" applyAlignment="1">
      <alignment horizontal="center" vertical="top"/>
    </xf>
    <xf numFmtId="43" fontId="8" fillId="0" borderId="0" xfId="4" applyNumberFormat="1" applyAlignment="1">
      <alignment vertical="top"/>
    </xf>
    <xf numFmtId="165" fontId="12" fillId="0" borderId="0" xfId="0" applyNumberFormat="1" applyFont="1" applyAlignment="1">
      <alignment horizontal="center" vertical="top"/>
    </xf>
    <xf numFmtId="49" fontId="12" fillId="0" borderId="8" xfId="0" applyNumberFormat="1" applyFont="1" applyBorder="1" applyAlignment="1">
      <alignment vertical="top" wrapText="1"/>
    </xf>
    <xf numFmtId="0" fontId="12" fillId="0" borderId="1" xfId="0" applyFont="1" applyBorder="1" applyAlignment="1">
      <alignment horizontal="center" vertical="top"/>
    </xf>
    <xf numFmtId="0" fontId="12" fillId="0" borderId="9" xfId="0" applyFont="1" applyBorder="1" applyAlignment="1">
      <alignment horizontal="center" vertical="top"/>
    </xf>
    <xf numFmtId="43" fontId="12" fillId="0" borderId="8" xfId="0" applyNumberFormat="1" applyFont="1" applyBorder="1" applyAlignment="1">
      <alignment horizontal="center" vertical="top"/>
    </xf>
    <xf numFmtId="43" fontId="12" fillId="0" borderId="1" xfId="0" applyNumberFormat="1" applyFont="1" applyBorder="1" applyAlignment="1">
      <alignment horizontal="center" vertical="top"/>
    </xf>
    <xf numFmtId="43" fontId="12" fillId="0" borderId="6" xfId="0" applyNumberFormat="1" applyFont="1" applyBorder="1" applyAlignment="1">
      <alignment vertical="top"/>
    </xf>
    <xf numFmtId="43" fontId="12" fillId="0" borderId="7" xfId="3" applyNumberFormat="1" applyFont="1" applyFill="1" applyBorder="1" applyAlignment="1">
      <alignment vertical="top"/>
    </xf>
    <xf numFmtId="43" fontId="12" fillId="0" borderId="6" xfId="3" applyNumberFormat="1" applyFont="1" applyFill="1" applyBorder="1" applyAlignment="1">
      <alignment vertical="top"/>
    </xf>
    <xf numFmtId="43" fontId="12" fillId="0" borderId="0" xfId="3" applyNumberFormat="1" applyFont="1" applyFill="1" applyBorder="1" applyAlignment="1">
      <alignment vertical="top"/>
    </xf>
    <xf numFmtId="43" fontId="12" fillId="0" borderId="12" xfId="0" applyNumberFormat="1" applyFont="1" applyBorder="1" applyAlignment="1">
      <alignment vertical="top"/>
    </xf>
    <xf numFmtId="0" fontId="12" fillId="0" borderId="3" xfId="0" applyFont="1" applyBorder="1" applyAlignment="1">
      <alignment vertical="top"/>
    </xf>
    <xf numFmtId="43" fontId="12" fillId="0" borderId="13" xfId="0" applyNumberFormat="1" applyFont="1" applyBorder="1" applyAlignment="1">
      <alignment vertical="top"/>
    </xf>
    <xf numFmtId="43" fontId="12" fillId="0" borderId="3" xfId="0" applyNumberFormat="1" applyFont="1" applyBorder="1" applyAlignment="1">
      <alignment vertical="top"/>
    </xf>
    <xf numFmtId="43" fontId="12" fillId="0" borderId="14" xfId="3" applyNumberFormat="1" applyFont="1" applyFill="1" applyBorder="1" applyAlignment="1">
      <alignment vertical="top"/>
    </xf>
    <xf numFmtId="0" fontId="12" fillId="0" borderId="15" xfId="0" applyFont="1" applyBorder="1" applyAlignment="1">
      <alignment vertical="top"/>
    </xf>
    <xf numFmtId="43" fontId="12" fillId="0" borderId="8" xfId="3" applyNumberFormat="1" applyFont="1" applyFill="1" applyBorder="1" applyAlignment="1">
      <alignment vertical="top"/>
    </xf>
    <xf numFmtId="43" fontId="12" fillId="0" borderId="1" xfId="3" applyNumberFormat="1" applyFont="1" applyFill="1" applyBorder="1" applyAlignment="1">
      <alignment vertical="top"/>
    </xf>
    <xf numFmtId="43" fontId="12" fillId="0" borderId="9" xfId="3" applyNumberFormat="1" applyFont="1" applyFill="1" applyBorder="1" applyAlignment="1">
      <alignment vertical="top"/>
    </xf>
    <xf numFmtId="43" fontId="12" fillId="0" borderId="0" xfId="3" applyNumberFormat="1" applyFont="1" applyFill="1" applyAlignment="1">
      <alignment vertical="top"/>
    </xf>
    <xf numFmtId="2" fontId="12" fillId="0" borderId="0" xfId="0" applyNumberFormat="1" applyFont="1" applyAlignment="1">
      <alignment vertical="top"/>
    </xf>
    <xf numFmtId="0" fontId="8" fillId="0" borderId="0" xfId="4" applyAlignment="1">
      <alignment horizontal="left" vertical="top"/>
    </xf>
    <xf numFmtId="43" fontId="8" fillId="0" borderId="0" xfId="4" applyNumberFormat="1" applyAlignment="1">
      <alignment horizontal="left" vertical="top"/>
    </xf>
    <xf numFmtId="43" fontId="12" fillId="0" borderId="9" xfId="0" applyNumberFormat="1" applyFont="1" applyBorder="1" applyAlignment="1">
      <alignment horizontal="center" vertical="top" wrapText="1"/>
    </xf>
    <xf numFmtId="1" fontId="16" fillId="0" borderId="25" xfId="5" applyNumberFormat="1" applyFont="1" applyFill="1" applyBorder="1" applyAlignment="1" applyProtection="1">
      <alignment vertical="top"/>
      <protection locked="0"/>
    </xf>
    <xf numFmtId="0" fontId="16" fillId="0" borderId="0" xfId="0" applyFont="1" applyAlignment="1" applyProtection="1">
      <alignment horizontal="right" vertical="top" wrapText="1"/>
      <protection locked="0"/>
    </xf>
    <xf numFmtId="1" fontId="18" fillId="0" borderId="0" xfId="0" applyNumberFormat="1" applyFont="1" applyAlignment="1">
      <alignment horizontal="left" vertical="top"/>
    </xf>
    <xf numFmtId="0" fontId="22" fillId="0" borderId="0" xfId="0" applyFont="1" applyAlignment="1">
      <alignment horizontal="left" vertical="top"/>
    </xf>
    <xf numFmtId="168" fontId="9" fillId="0" borderId="0" xfId="0" applyNumberFormat="1" applyFont="1" applyAlignment="1">
      <alignment horizontal="left" vertical="top" wrapText="1"/>
    </xf>
    <xf numFmtId="0" fontId="23" fillId="0" borderId="0" xfId="4" applyFont="1" applyAlignment="1">
      <alignment horizontal="left" vertical="top" wrapText="1"/>
    </xf>
    <xf numFmtId="0" fontId="9" fillId="0" borderId="0" xfId="0" applyFont="1" applyAlignment="1">
      <alignment wrapText="1"/>
    </xf>
    <xf numFmtId="43" fontId="23" fillId="0" borderId="0" xfId="4" applyNumberFormat="1" applyFont="1" applyAlignment="1">
      <alignment horizontal="left" vertical="top" wrapText="1"/>
    </xf>
    <xf numFmtId="1" fontId="9" fillId="0" borderId="0" xfId="0" applyNumberFormat="1" applyFont="1" applyAlignment="1">
      <alignment horizontal="left" vertical="top" wrapText="1"/>
    </xf>
    <xf numFmtId="0" fontId="9" fillId="0" borderId="19" xfId="0" applyFont="1" applyBorder="1" applyAlignment="1" applyProtection="1">
      <alignment vertical="top"/>
      <protection locked="0"/>
    </xf>
    <xf numFmtId="9" fontId="9" fillId="0" borderId="0" xfId="1" applyNumberFormat="1" applyFont="1" applyFill="1" applyBorder="1" applyAlignment="1" applyProtection="1">
      <alignment vertical="top"/>
    </xf>
    <xf numFmtId="0" fontId="0" fillId="0" borderId="0" xfId="0" applyAlignment="1">
      <alignment horizontal="center" vertical="top"/>
    </xf>
    <xf numFmtId="44" fontId="12" fillId="0" borderId="0" xfId="3" applyFont="1" applyFill="1" applyBorder="1" applyAlignment="1" applyProtection="1">
      <alignment vertical="top"/>
    </xf>
    <xf numFmtId="0" fontId="12" fillId="0" borderId="2" xfId="0" applyFont="1" applyBorder="1" applyAlignment="1">
      <alignment horizontal="center" vertical="center"/>
    </xf>
    <xf numFmtId="167" fontId="12" fillId="0" borderId="2" xfId="3" applyNumberFormat="1" applyFont="1" applyBorder="1" applyAlignment="1">
      <alignment vertical="center"/>
    </xf>
    <xf numFmtId="2" fontId="14" fillId="0" borderId="2" xfId="5" applyNumberFormat="1" applyFont="1" applyBorder="1" applyAlignment="1">
      <alignment horizontal="center" vertical="center"/>
    </xf>
    <xf numFmtId="2" fontId="14" fillId="0" borderId="0" xfId="5" applyNumberFormat="1" applyFont="1" applyFill="1" applyBorder="1" applyAlignment="1">
      <alignment horizontal="center" vertical="center"/>
    </xf>
    <xf numFmtId="0" fontId="14" fillId="0" borderId="0" xfId="0" applyFont="1" applyAlignment="1">
      <alignment vertical="center"/>
    </xf>
    <xf numFmtId="0" fontId="14" fillId="0" borderId="1" xfId="0" applyFont="1" applyBorder="1" applyAlignment="1">
      <alignment vertical="center"/>
    </xf>
    <xf numFmtId="2" fontId="14" fillId="0" borderId="1" xfId="5" applyNumberFormat="1" applyFont="1" applyFill="1" applyBorder="1" applyAlignment="1">
      <alignment horizontal="center" vertical="center"/>
    </xf>
    <xf numFmtId="0" fontId="11" fillId="0" borderId="2" xfId="0" applyFont="1" applyBorder="1" applyAlignment="1">
      <alignment vertical="center"/>
    </xf>
    <xf numFmtId="49" fontId="10"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170" fontId="9" fillId="2" borderId="21" xfId="0" applyNumberFormat="1" applyFont="1" applyFill="1" applyBorder="1" applyAlignment="1">
      <alignment vertical="top"/>
    </xf>
    <xf numFmtId="43" fontId="23" fillId="0" borderId="0" xfId="4" applyNumberFormat="1" applyFont="1" applyAlignment="1">
      <alignment horizontal="center" vertical="center"/>
    </xf>
    <xf numFmtId="43" fontId="16" fillId="0" borderId="20" xfId="1" applyFont="1" applyFill="1" applyBorder="1" applyAlignment="1" applyProtection="1">
      <alignment vertical="top"/>
      <protection locked="0"/>
    </xf>
    <xf numFmtId="165" fontId="16" fillId="0" borderId="23" xfId="1" applyNumberFormat="1" applyFont="1" applyFill="1" applyBorder="1" applyAlignment="1" applyProtection="1">
      <alignment vertical="center"/>
      <protection locked="0"/>
    </xf>
    <xf numFmtId="165" fontId="16" fillId="4" borderId="27" xfId="1" applyNumberFormat="1" applyFont="1" applyFill="1" applyBorder="1" applyAlignment="1" applyProtection="1">
      <alignment vertical="center"/>
    </xf>
    <xf numFmtId="0" fontId="18" fillId="0" borderId="0" xfId="0" applyFont="1" applyAlignment="1" applyProtection="1">
      <alignment horizontal="center" vertical="top"/>
      <protection locked="0"/>
    </xf>
    <xf numFmtId="38" fontId="12" fillId="0" borderId="0" xfId="1" applyNumberFormat="1" applyFont="1" applyAlignment="1">
      <alignment vertical="center"/>
    </xf>
    <xf numFmtId="38" fontId="12" fillId="0" borderId="0" xfId="0" applyNumberFormat="1" applyFont="1" applyAlignment="1">
      <alignment vertical="center"/>
    </xf>
    <xf numFmtId="0" fontId="23" fillId="0" borderId="0" xfId="4" applyFont="1"/>
    <xf numFmtId="164" fontId="12" fillId="0" borderId="0" xfId="0" applyNumberFormat="1" applyFont="1" applyAlignment="1">
      <alignment horizontal="center" vertical="top"/>
    </xf>
    <xf numFmtId="167" fontId="12" fillId="0" borderId="1" xfId="3" applyNumberFormat="1" applyFont="1" applyFill="1" applyBorder="1" applyAlignment="1">
      <alignment vertical="center"/>
    </xf>
    <xf numFmtId="0" fontId="29" fillId="0" borderId="0" xfId="0" applyFont="1" applyAlignment="1">
      <alignment vertical="center" wrapText="1"/>
    </xf>
    <xf numFmtId="164" fontId="12" fillId="0" borderId="7" xfId="0" applyNumberFormat="1" applyFont="1" applyBorder="1" applyAlignment="1">
      <alignment horizontal="center" vertical="top"/>
    </xf>
    <xf numFmtId="0" fontId="30" fillId="0" borderId="0" xfId="0" applyFont="1" applyAlignment="1">
      <alignment horizontal="left" vertical="top"/>
    </xf>
    <xf numFmtId="0" fontId="31" fillId="0" borderId="0" xfId="0" applyFont="1" applyAlignment="1">
      <alignment horizontal="left" vertical="top"/>
    </xf>
    <xf numFmtId="0" fontId="0" fillId="0" borderId="0" xfId="0" applyAlignment="1">
      <alignment horizontal="center" vertical="top" wrapText="1"/>
    </xf>
    <xf numFmtId="0" fontId="0" fillId="0" borderId="0" xfId="0" applyAlignment="1">
      <alignment horizontal="center" vertical="top"/>
    </xf>
    <xf numFmtId="0" fontId="2" fillId="0" borderId="0" xfId="0" applyFont="1" applyAlignment="1">
      <alignment horizontal="left" vertical="top" wrapText="1"/>
    </xf>
    <xf numFmtId="0" fontId="16" fillId="0" borderId="0" xfId="0" applyFont="1" applyAlignment="1">
      <alignment horizontal="left" vertical="top" wrapText="1"/>
    </xf>
    <xf numFmtId="0" fontId="16" fillId="0" borderId="0" xfId="0" applyFont="1" applyAlignment="1" applyProtection="1">
      <alignment horizontal="left" vertical="top" wrapText="1"/>
      <protection locked="0"/>
    </xf>
    <xf numFmtId="0" fontId="9" fillId="0" borderId="1" xfId="0" applyFont="1" applyBorder="1" applyAlignment="1" applyProtection="1">
      <alignment horizontal="left" vertical="top" indent="1"/>
      <protection locked="0"/>
    </xf>
    <xf numFmtId="0" fontId="9" fillId="0" borderId="10" xfId="0" applyFont="1" applyBorder="1" applyAlignment="1" applyProtection="1">
      <alignment horizontal="left" vertical="top" indent="1"/>
      <protection locked="0"/>
    </xf>
    <xf numFmtId="0" fontId="9" fillId="0" borderId="26" xfId="0" applyFont="1" applyBorder="1" applyAlignment="1">
      <alignment horizontal="center" vertical="center" wrapText="1"/>
    </xf>
    <xf numFmtId="0" fontId="9" fillId="0" borderId="0" xfId="0" applyFont="1" applyAlignment="1">
      <alignment horizontal="center" vertical="center" wrapText="1"/>
    </xf>
    <xf numFmtId="0" fontId="16" fillId="0" borderId="4" xfId="0" applyFont="1" applyBorder="1" applyAlignment="1" applyProtection="1">
      <alignment horizontal="left" vertical="top"/>
      <protection locked="0"/>
    </xf>
    <xf numFmtId="0" fontId="16" fillId="0" borderId="2" xfId="0" applyFont="1" applyBorder="1" applyAlignment="1" applyProtection="1">
      <alignment horizontal="left" vertical="top"/>
      <protection locked="0"/>
    </xf>
    <xf numFmtId="0" fontId="16" fillId="0" borderId="5" xfId="0" applyFont="1" applyBorder="1" applyAlignment="1" applyProtection="1">
      <alignment horizontal="left" vertical="top"/>
      <protection locked="0"/>
    </xf>
    <xf numFmtId="0" fontId="16" fillId="0" borderId="6" xfId="0" applyFont="1" applyBorder="1" applyAlignment="1" applyProtection="1">
      <alignment horizontal="left" vertical="top"/>
      <protection locked="0"/>
    </xf>
    <xf numFmtId="0" fontId="16" fillId="0" borderId="0" xfId="0" applyFont="1" applyAlignment="1" applyProtection="1">
      <alignment horizontal="left" vertical="top"/>
      <protection locked="0"/>
    </xf>
    <xf numFmtId="0" fontId="16" fillId="0" borderId="7" xfId="0" applyFont="1" applyBorder="1" applyAlignment="1" applyProtection="1">
      <alignment horizontal="left" vertical="top"/>
      <protection locked="0"/>
    </xf>
    <xf numFmtId="0" fontId="16" fillId="0" borderId="8" xfId="0" applyFont="1" applyBorder="1" applyAlignment="1" applyProtection="1">
      <alignment horizontal="left" vertical="top"/>
      <protection locked="0"/>
    </xf>
    <xf numFmtId="0" fontId="16" fillId="0" borderId="1" xfId="0" applyFont="1" applyBorder="1" applyAlignment="1" applyProtection="1">
      <alignment horizontal="left" vertical="top"/>
      <protection locked="0"/>
    </xf>
    <xf numFmtId="0" fontId="16" fillId="0" borderId="9" xfId="0" applyFont="1" applyBorder="1" applyAlignment="1" applyProtection="1">
      <alignment horizontal="left" vertical="top"/>
      <protection locked="0"/>
    </xf>
    <xf numFmtId="0" fontId="13" fillId="0" borderId="0" xfId="0" applyFont="1" applyAlignment="1">
      <alignment horizontal="center" vertical="top"/>
    </xf>
    <xf numFmtId="0" fontId="14" fillId="0" borderId="0" xfId="0" applyFont="1" applyAlignment="1">
      <alignment horizontal="left" vertical="top" wrapText="1"/>
    </xf>
    <xf numFmtId="0" fontId="27" fillId="0" borderId="0" xfId="0" applyFont="1" applyAlignment="1">
      <alignment horizontal="center" vertical="top" wrapText="1"/>
    </xf>
    <xf numFmtId="0" fontId="16" fillId="0" borderId="16" xfId="0" applyFont="1" applyBorder="1" applyAlignment="1">
      <alignment vertical="top" wrapText="1"/>
    </xf>
    <xf numFmtId="0" fontId="16" fillId="0" borderId="10" xfId="0" applyFont="1" applyBorder="1" applyAlignment="1">
      <alignment vertical="top" wrapText="1"/>
    </xf>
    <xf numFmtId="0" fontId="16" fillId="0" borderId="17" xfId="0" applyFont="1" applyBorder="1" applyAlignment="1">
      <alignment vertical="top" wrapText="1"/>
    </xf>
    <xf numFmtId="0" fontId="2" fillId="0" borderId="0" xfId="0" applyFont="1" applyAlignment="1">
      <alignment vertical="top" wrapText="1"/>
    </xf>
    <xf numFmtId="0" fontId="16" fillId="0" borderId="0" xfId="0" applyFont="1" applyAlignment="1">
      <alignment vertical="top" wrapText="1"/>
    </xf>
    <xf numFmtId="0" fontId="1" fillId="0" borderId="0" xfId="0" applyFont="1" applyAlignment="1">
      <alignment horizontal="left" vertical="top" wrapText="1"/>
    </xf>
    <xf numFmtId="0" fontId="24" fillId="0" borderId="0" xfId="0" applyFont="1" applyAlignment="1">
      <alignment horizontal="left" vertical="top" wrapText="1"/>
    </xf>
    <xf numFmtId="0" fontId="20" fillId="0" borderId="1" xfId="0" applyFont="1" applyBorder="1" applyAlignment="1">
      <alignment horizontal="center" vertical="top"/>
    </xf>
    <xf numFmtId="0" fontId="16" fillId="0" borderId="10" xfId="0" applyFont="1" applyBorder="1" applyAlignment="1" applyProtection="1">
      <alignment horizontal="left" vertical="top" indent="1"/>
      <protection locked="0"/>
    </xf>
    <xf numFmtId="0" fontId="25" fillId="0" borderId="0" xfId="0" applyFont="1" applyAlignment="1">
      <alignment horizontal="left" vertical="top" wrapText="1"/>
    </xf>
    <xf numFmtId="0" fontId="10" fillId="0" borderId="2" xfId="0" applyFont="1" applyBorder="1" applyAlignment="1">
      <alignment horizontal="center" vertical="center"/>
    </xf>
    <xf numFmtId="43" fontId="12" fillId="3" borderId="16" xfId="0" applyNumberFormat="1" applyFont="1" applyFill="1" applyBorder="1" applyAlignment="1">
      <alignment horizontal="center" vertical="top"/>
    </xf>
    <xf numFmtId="43" fontId="12" fillId="3" borderId="10" xfId="0" applyNumberFormat="1" applyFont="1" applyFill="1" applyBorder="1" applyAlignment="1">
      <alignment horizontal="center" vertical="top"/>
    </xf>
    <xf numFmtId="43" fontId="12" fillId="3" borderId="17" xfId="0" applyNumberFormat="1" applyFont="1" applyFill="1" applyBorder="1" applyAlignment="1">
      <alignment horizontal="center" vertical="top"/>
    </xf>
    <xf numFmtId="0" fontId="9" fillId="0" borderId="0" xfId="0" applyFont="1" applyFill="1" applyAlignment="1">
      <alignment horizontal="left" vertical="top" wrapText="1"/>
    </xf>
    <xf numFmtId="0" fontId="23" fillId="0" borderId="0" xfId="4" applyFont="1" applyFill="1" applyAlignment="1">
      <alignment horizontal="left" vertical="top" wrapText="1"/>
    </xf>
  </cellXfs>
  <cellStyles count="6">
    <cellStyle name="Comma" xfId="1" builtinId="3"/>
    <cellStyle name="Comma 2" xfId="2" xr:uid="{00000000-0005-0000-0000-000001000000}"/>
    <cellStyle name="Currency" xfId="3" builtinId="4"/>
    <cellStyle name="Hyperlink" xfId="4" builtinId="8"/>
    <cellStyle name="Normal" xfId="0" builtinId="0"/>
    <cellStyle name="Percent" xfId="5" builtinId="5"/>
  </cellStyles>
  <dxfs count="9">
    <dxf>
      <font>
        <color rgb="FF9C0006"/>
      </font>
      <fill>
        <patternFill>
          <bgColor rgb="FFFFC7CE"/>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
      <font>
        <color rgb="FF9C0006"/>
      </font>
      <fill>
        <patternFill>
          <bgColor rgb="FFFFC7CE"/>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Drop" dropStyle="combo" dx="22" fmlaLink="$B$23" fmlaRange="Tech_name" sel="3" val="0"/>
</file>

<file path=xl/ctrlProps/ctrlProp2.xml><?xml version="1.0" encoding="utf-8"?>
<formControlPr xmlns="http://schemas.microsoft.com/office/spreadsheetml/2009/9/main" objectType="Drop" dropStyle="combo" dx="22" fmlaLink="$B$17" fmlaRange="LookupTables!$A$11:$A$16"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22</xdr:row>
          <xdr:rowOff>19050</xdr:rowOff>
        </xdr:from>
        <xdr:to>
          <xdr:col>1</xdr:col>
          <xdr:colOff>1066800</xdr:colOff>
          <xdr:row>22</xdr:row>
          <xdr:rowOff>171450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171450</xdr:rowOff>
        </xdr:from>
        <xdr:to>
          <xdr:col>1</xdr:col>
          <xdr:colOff>1057275</xdr:colOff>
          <xdr:row>16</xdr:row>
          <xdr:rowOff>133350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osha.gov/nationally-recognized-testing-laboratory-program/current-list-of-nrtls" TargetMode="External"/><Relationship Id="rId3" Type="http://schemas.openxmlformats.org/officeDocument/2006/relationships/hyperlink" Target="https://fred.stlouisfed.org/series/MORTGAGE30US" TargetMode="External"/><Relationship Id="rId7" Type="http://schemas.openxmlformats.org/officeDocument/2006/relationships/hyperlink" Target="https://remdb.nrel.gov/measures.php?gId=6&amp;ctId=270" TargetMode="External"/><Relationship Id="rId2" Type="http://schemas.openxmlformats.org/officeDocument/2006/relationships/hyperlink" Target="https://hawaiienergy.com/for-homes/solar-water-heating/the-cost-of-a-solar-water-heating-system" TargetMode="External"/><Relationship Id="rId1" Type="http://schemas.openxmlformats.org/officeDocument/2006/relationships/hyperlink" Target="http://dbedt.hawaii.gov/economic/databook/data_book_time_series/" TargetMode="External"/><Relationship Id="rId6" Type="http://schemas.openxmlformats.org/officeDocument/2006/relationships/hyperlink" Target="https://www.hawaiigas.com/customer-service/rates-and-tariffs/" TargetMode="External"/><Relationship Id="rId11" Type="http://schemas.openxmlformats.org/officeDocument/2006/relationships/printerSettings" Target="../printerSettings/printerSettings4.bin"/><Relationship Id="rId5" Type="http://schemas.openxmlformats.org/officeDocument/2006/relationships/hyperlink" Target="https://dbedt.hawaii.gov/economic/energy-trends-2/" TargetMode="External"/><Relationship Id="rId10" Type="http://schemas.openxmlformats.org/officeDocument/2006/relationships/hyperlink" Target="https://www.socalgas.com/sites/default/files/2025-02/SoCalGas-Residential-Solar-Thermal-Water-Heater-Rebate-Application-2025.pdf" TargetMode="External"/><Relationship Id="rId4" Type="http://schemas.openxmlformats.org/officeDocument/2006/relationships/hyperlink" Target="https://remdb.nrel.gov/measures.php?gId=6&amp;ctId=270" TargetMode="External"/><Relationship Id="rId9" Type="http://schemas.openxmlformats.org/officeDocument/2006/relationships/hyperlink" Target="https://view.officeapps.live.com/op/view.aspx?src=https%3A%2F%2Fwww.energy.gov%2Fsites%2Fdefault%2Ffiles%2F2023-06%2Ffemp-solar-hot-water-system-calculator-june-2023.xlsx&amp;wdOrigin=BROWSELI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69"/>
  <sheetViews>
    <sheetView tabSelected="1" view="pageLayout" zoomScaleNormal="100" zoomScaleSheetLayoutView="110" workbookViewId="0">
      <selection activeCell="B16" sqref="B16"/>
    </sheetView>
  </sheetViews>
  <sheetFormatPr defaultColWidth="9.140625" defaultRowHeight="15" x14ac:dyDescent="0.25"/>
  <cols>
    <col min="1" max="1" width="27.85546875" style="8" customWidth="1"/>
    <col min="2" max="2" width="15.5703125" style="8" customWidth="1"/>
    <col min="3" max="4" width="16.42578125" style="8" customWidth="1"/>
    <col min="5" max="5" width="18.5703125" style="8" customWidth="1"/>
    <col min="6" max="6" width="0.5703125" style="8" customWidth="1"/>
    <col min="7" max="16384" width="9.140625" style="8"/>
  </cols>
  <sheetData>
    <row r="1" spans="1:6" ht="15.75" x14ac:dyDescent="0.25">
      <c r="A1" s="175" t="s">
        <v>55</v>
      </c>
      <c r="B1" s="175"/>
      <c r="C1" s="175"/>
      <c r="D1" s="175"/>
      <c r="E1" s="175"/>
    </row>
    <row r="2" spans="1:6" ht="15.75" x14ac:dyDescent="0.25">
      <c r="A2" s="175" t="s">
        <v>56</v>
      </c>
      <c r="B2" s="175"/>
      <c r="C2" s="175"/>
      <c r="D2" s="175"/>
      <c r="E2" s="175"/>
    </row>
    <row r="3" spans="1:6" ht="30" x14ac:dyDescent="0.25">
      <c r="A3" s="176" t="s">
        <v>116</v>
      </c>
      <c r="B3" s="176"/>
      <c r="C3" s="176"/>
      <c r="D3" s="176"/>
      <c r="E3" s="176"/>
      <c r="F3" s="9" t="s">
        <v>71</v>
      </c>
    </row>
    <row r="4" spans="1:6" x14ac:dyDescent="0.25">
      <c r="A4" s="177" t="s">
        <v>131</v>
      </c>
      <c r="B4" s="177"/>
      <c r="C4" s="177"/>
      <c r="D4" s="177"/>
      <c r="E4" s="177"/>
    </row>
    <row r="5" spans="1:6" ht="24" x14ac:dyDescent="0.25">
      <c r="A5" s="187" t="s">
        <v>115</v>
      </c>
      <c r="B5" s="184"/>
      <c r="C5" s="184"/>
      <c r="D5" s="184"/>
      <c r="E5" s="184"/>
      <c r="F5" s="7" t="s">
        <v>113</v>
      </c>
    </row>
    <row r="6" spans="1:6" ht="48" x14ac:dyDescent="0.25">
      <c r="A6" s="183" t="s">
        <v>117</v>
      </c>
      <c r="B6" s="184"/>
      <c r="C6" s="184"/>
      <c r="D6" s="184"/>
      <c r="E6" s="184"/>
      <c r="F6" s="7" t="s">
        <v>77</v>
      </c>
    </row>
    <row r="7" spans="1:6" ht="72" customHeight="1" x14ac:dyDescent="0.25">
      <c r="A7" s="178" t="s">
        <v>142</v>
      </c>
      <c r="B7" s="179"/>
      <c r="C7" s="179"/>
      <c r="D7" s="179"/>
      <c r="E7" s="180"/>
      <c r="F7" s="7" t="s">
        <v>114</v>
      </c>
    </row>
    <row r="8" spans="1:6" ht="15.75" x14ac:dyDescent="0.25">
      <c r="A8" s="6" t="s">
        <v>0</v>
      </c>
      <c r="F8" s="1" t="s">
        <v>6</v>
      </c>
    </row>
    <row r="9" spans="1:6" ht="48" x14ac:dyDescent="0.25">
      <c r="A9" s="159" t="s">
        <v>129</v>
      </c>
      <c r="B9" s="160"/>
      <c r="C9" s="160"/>
      <c r="D9" s="160"/>
      <c r="E9" s="160"/>
      <c r="F9" s="7" t="s">
        <v>77</v>
      </c>
    </row>
    <row r="10" spans="1:6" ht="60" x14ac:dyDescent="0.25">
      <c r="A10" s="181" t="s">
        <v>143</v>
      </c>
      <c r="B10" s="182"/>
      <c r="C10" s="182"/>
      <c r="D10" s="182"/>
      <c r="E10" s="182"/>
      <c r="F10" s="7" t="s">
        <v>72</v>
      </c>
    </row>
    <row r="11" spans="1:6" x14ac:dyDescent="0.25">
      <c r="A11" s="160" t="s">
        <v>70</v>
      </c>
      <c r="B11" s="160"/>
      <c r="C11" s="160"/>
      <c r="D11" s="160"/>
      <c r="E11" s="160"/>
      <c r="F11" s="1"/>
    </row>
    <row r="12" spans="1:6" x14ac:dyDescent="0.25">
      <c r="A12" s="159" t="s">
        <v>130</v>
      </c>
      <c r="B12" s="160"/>
      <c r="C12" s="160"/>
      <c r="D12" s="160"/>
      <c r="E12" s="160"/>
      <c r="F12" s="1"/>
    </row>
    <row r="13" spans="1:6" x14ac:dyDescent="0.25">
      <c r="A13" s="10"/>
      <c r="B13" s="10"/>
      <c r="C13" s="10"/>
      <c r="D13" s="10"/>
      <c r="E13" s="10"/>
    </row>
    <row r="14" spans="1:6" ht="16.5" thickBot="1" x14ac:dyDescent="0.3">
      <c r="A14" s="11" t="s">
        <v>1</v>
      </c>
      <c r="B14" s="12"/>
    </row>
    <row r="15" spans="1:6" ht="16.5" thickTop="1" thickBot="1" x14ac:dyDescent="0.3">
      <c r="A15" s="2"/>
      <c r="B15" s="13" t="s">
        <v>38</v>
      </c>
      <c r="C15" s="14" t="s">
        <v>61</v>
      </c>
    </row>
    <row r="16" spans="1:6" ht="15.75" thickTop="1" x14ac:dyDescent="0.25">
      <c r="A16" s="15" t="s">
        <v>141</v>
      </c>
      <c r="B16" s="16">
        <v>2</v>
      </c>
      <c r="C16" s="1"/>
    </row>
    <row r="17" spans="1:6" x14ac:dyDescent="0.25">
      <c r="A17" s="1" t="s">
        <v>2</v>
      </c>
      <c r="B17" s="17">
        <v>1</v>
      </c>
      <c r="C17" s="143" t="str">
        <f>Notes!A30</f>
        <v>Note 17</v>
      </c>
    </row>
    <row r="18" spans="1:6" x14ac:dyDescent="0.25">
      <c r="A18" s="18" t="s">
        <v>4</v>
      </c>
      <c r="B18" s="146"/>
      <c r="C18" s="164" t="s">
        <v>109</v>
      </c>
      <c r="D18" s="165"/>
      <c r="E18" s="165"/>
      <c r="F18" s="157" t="s">
        <v>72</v>
      </c>
    </row>
    <row r="19" spans="1:6" x14ac:dyDescent="0.25">
      <c r="A19" s="15" t="s">
        <v>74</v>
      </c>
      <c r="B19" s="145"/>
      <c r="C19" s="164"/>
      <c r="D19" s="165"/>
      <c r="E19" s="165"/>
      <c r="F19" s="158"/>
    </row>
    <row r="20" spans="1:6" x14ac:dyDescent="0.25">
      <c r="A20" s="15" t="s">
        <v>73</v>
      </c>
      <c r="B20" s="19">
        <f>C20</f>
        <v>0</v>
      </c>
      <c r="C20" s="20">
        <f>0.3*solar_cost</f>
        <v>0</v>
      </c>
      <c r="D20" s="47" t="s">
        <v>123</v>
      </c>
    </row>
    <row r="21" spans="1:6" x14ac:dyDescent="0.25">
      <c r="A21" s="15" t="s">
        <v>87</v>
      </c>
      <c r="B21" s="144">
        <f>C21</f>
        <v>10</v>
      </c>
      <c r="C21" s="142">
        <f>INDEX(EF_def,4)</f>
        <v>10</v>
      </c>
      <c r="D21" s="143" t="str">
        <f>Notes!A26</f>
        <v>Note 14</v>
      </c>
    </row>
    <row r="22" spans="1:6" x14ac:dyDescent="0.25">
      <c r="A22" s="1" t="s">
        <v>30</v>
      </c>
      <c r="B22" s="21">
        <f>solar_life_span_def</f>
        <v>15</v>
      </c>
      <c r="C22" s="22">
        <f>INDEX(tech_life_span_def,4)</f>
        <v>15</v>
      </c>
      <c r="D22" s="1" t="s">
        <v>110</v>
      </c>
    </row>
    <row r="23" spans="1:6" x14ac:dyDescent="0.25">
      <c r="A23" s="18" t="s">
        <v>60</v>
      </c>
      <c r="B23" s="126">
        <v>3</v>
      </c>
      <c r="C23" s="143" t="str">
        <f>Notes!A31</f>
        <v>Note 18</v>
      </c>
    </row>
    <row r="24" spans="1:6" x14ac:dyDescent="0.25">
      <c r="A24" s="1" t="s">
        <v>75</v>
      </c>
      <c r="B24" s="25">
        <f>C24</f>
        <v>3300</v>
      </c>
      <c r="C24" s="45">
        <f>INDEX(ins_cost,tech_ent)</f>
        <v>3300</v>
      </c>
    </row>
    <row r="25" spans="1:6" x14ac:dyDescent="0.25">
      <c r="A25" s="23" t="s">
        <v>65</v>
      </c>
      <c r="B25" s="19">
        <v>0</v>
      </c>
      <c r="C25" s="48"/>
    </row>
    <row r="26" spans="1:6" x14ac:dyDescent="0.25">
      <c r="A26" s="15" t="s">
        <v>88</v>
      </c>
      <c r="B26" s="50">
        <f>C26</f>
        <v>3.42</v>
      </c>
      <c r="C26" s="51">
        <f>INDEX(EF_def,tech_ent)</f>
        <v>3.42</v>
      </c>
      <c r="D26" s="24"/>
    </row>
    <row r="27" spans="1:6" ht="15.75" thickBot="1" x14ac:dyDescent="0.3">
      <c r="A27" s="1" t="s">
        <v>66</v>
      </c>
      <c r="B27" s="117">
        <f>tech_life_span_def_a</f>
        <v>15</v>
      </c>
      <c r="C27" s="20">
        <f>INDEX(tech_life_span_def,tech_ent)</f>
        <v>15</v>
      </c>
    </row>
    <row r="28" spans="1:6" ht="15.75" thickTop="1" x14ac:dyDescent="0.25">
      <c r="A28" s="15"/>
      <c r="B28" s="26"/>
      <c r="C28" s="127"/>
    </row>
    <row r="29" spans="1:6" ht="15.75" x14ac:dyDescent="0.25">
      <c r="A29" s="27" t="s">
        <v>7</v>
      </c>
      <c r="B29" s="23" t="s">
        <v>111</v>
      </c>
    </row>
    <row r="30" spans="1:6" x14ac:dyDescent="0.25">
      <c r="A30" s="1" t="s">
        <v>8</v>
      </c>
      <c r="B30" s="156" t="s">
        <v>112</v>
      </c>
      <c r="C30" s="128"/>
    </row>
    <row r="31" spans="1:6" x14ac:dyDescent="0.25">
      <c r="A31" s="35" t="s">
        <v>57</v>
      </c>
      <c r="B31" s="36"/>
      <c r="C31" s="12"/>
      <c r="D31" s="28"/>
      <c r="E31" s="28"/>
    </row>
    <row r="32" spans="1:6" x14ac:dyDescent="0.25">
      <c r="A32" s="37" t="s">
        <v>51</v>
      </c>
      <c r="B32" s="38">
        <f>IFERROR(PresentValue!B43,"Input Needed Above")</f>
        <v>10277.907832363609</v>
      </c>
      <c r="C32" s="12"/>
      <c r="D32" s="28"/>
      <c r="E32" s="28"/>
    </row>
    <row r="33" spans="1:5" x14ac:dyDescent="0.25">
      <c r="A33" s="37" t="s">
        <v>52</v>
      </c>
      <c r="B33" s="38">
        <f>PresentValue!C43</f>
        <v>0</v>
      </c>
      <c r="C33" s="12"/>
      <c r="D33" s="28"/>
      <c r="E33" s="28"/>
    </row>
    <row r="34" spans="1:5" x14ac:dyDescent="0.25">
      <c r="A34" s="39" t="s">
        <v>76</v>
      </c>
      <c r="B34" s="40">
        <f>IFERROR(PresentValue!E43,"Input Needed Above")</f>
        <v>3318.32392964771</v>
      </c>
      <c r="C34" s="129"/>
      <c r="D34" s="28"/>
      <c r="E34" s="28"/>
    </row>
    <row r="35" spans="1:5" x14ac:dyDescent="0.25">
      <c r="A35" s="35" t="s">
        <v>58</v>
      </c>
      <c r="B35" s="41"/>
      <c r="C35" s="129"/>
      <c r="D35" s="28"/>
      <c r="E35" s="28"/>
    </row>
    <row r="36" spans="1:5" x14ac:dyDescent="0.25">
      <c r="A36" s="37" t="s">
        <v>51</v>
      </c>
      <c r="B36" s="42">
        <f>PresentValue!Q43</f>
        <v>0</v>
      </c>
      <c r="C36" s="129"/>
      <c r="D36" s="28"/>
      <c r="E36" s="28"/>
    </row>
    <row r="37" spans="1:5" x14ac:dyDescent="0.25">
      <c r="A37" s="37" t="s">
        <v>52</v>
      </c>
      <c r="B37" s="42">
        <f>PresentValue!R43</f>
        <v>0</v>
      </c>
      <c r="C37" s="129"/>
      <c r="D37" s="28"/>
      <c r="E37" s="28"/>
    </row>
    <row r="38" spans="1:5" x14ac:dyDescent="0.25">
      <c r="A38" s="39" t="s">
        <v>76</v>
      </c>
      <c r="B38" s="40">
        <f>PresentValue!T43</f>
        <v>0</v>
      </c>
      <c r="C38" s="129"/>
      <c r="D38" s="28"/>
      <c r="E38" s="28"/>
    </row>
    <row r="39" spans="1:5" x14ac:dyDescent="0.25">
      <c r="A39" s="35" t="s">
        <v>62</v>
      </c>
      <c r="B39" s="41"/>
      <c r="C39" s="129"/>
      <c r="D39" s="28"/>
      <c r="E39" s="28"/>
    </row>
    <row r="40" spans="1:5" x14ac:dyDescent="0.25">
      <c r="A40" s="37" t="s">
        <v>51</v>
      </c>
      <c r="B40" s="42">
        <f>PresentValue!L43</f>
        <v>0</v>
      </c>
      <c r="C40" s="129"/>
      <c r="D40" s="28"/>
      <c r="E40" s="28"/>
    </row>
    <row r="41" spans="1:5" x14ac:dyDescent="0.25">
      <c r="A41" s="37" t="s">
        <v>52</v>
      </c>
      <c r="B41" s="42">
        <f>PresentValue!M43</f>
        <v>0</v>
      </c>
      <c r="C41" s="129"/>
      <c r="D41" s="28"/>
      <c r="E41" s="28"/>
    </row>
    <row r="42" spans="1:5" x14ac:dyDescent="0.25">
      <c r="A42" s="39" t="s">
        <v>76</v>
      </c>
      <c r="B42" s="40">
        <f>PresentValue!O43</f>
        <v>0</v>
      </c>
      <c r="C42" s="34"/>
      <c r="D42" s="28"/>
      <c r="E42" s="28"/>
    </row>
    <row r="43" spans="1:5" x14ac:dyDescent="0.25">
      <c r="A43" s="43" t="s">
        <v>59</v>
      </c>
      <c r="B43" s="41"/>
      <c r="C43" s="34"/>
      <c r="D43" s="28"/>
      <c r="E43" s="28"/>
    </row>
    <row r="44" spans="1:5" x14ac:dyDescent="0.25">
      <c r="A44" s="37" t="s">
        <v>51</v>
      </c>
      <c r="B44" s="42">
        <f>PresentValue!G43</f>
        <v>30052.362082934538</v>
      </c>
      <c r="C44" s="34"/>
      <c r="D44" s="28"/>
      <c r="E44" s="28"/>
    </row>
    <row r="45" spans="1:5" x14ac:dyDescent="0.25">
      <c r="A45" s="37" t="s">
        <v>52</v>
      </c>
      <c r="B45" s="42">
        <f>PresentValue!H43</f>
        <v>8647.6560604116676</v>
      </c>
      <c r="C45" s="34"/>
      <c r="D45" s="28"/>
      <c r="E45" s="28"/>
    </row>
    <row r="46" spans="1:5" x14ac:dyDescent="0.25">
      <c r="A46" s="39" t="s">
        <v>76</v>
      </c>
      <c r="B46" s="40">
        <f>PresentValue!J43</f>
        <v>14997.819318565676</v>
      </c>
      <c r="C46" s="28"/>
      <c r="D46" s="28"/>
      <c r="E46" s="28"/>
    </row>
    <row r="47" spans="1:5" x14ac:dyDescent="0.25">
      <c r="A47" s="28"/>
      <c r="B47" s="28"/>
      <c r="C47" s="28"/>
      <c r="D47" s="28"/>
      <c r="E47" s="28"/>
    </row>
    <row r="48" spans="1:5" x14ac:dyDescent="0.25">
      <c r="A48" s="185" t="s">
        <v>11</v>
      </c>
      <c r="B48" s="185"/>
      <c r="C48" s="28"/>
      <c r="D48" s="28"/>
      <c r="E48" s="28"/>
    </row>
    <row r="49" spans="1:5" x14ac:dyDescent="0.25">
      <c r="A49" s="29" t="s">
        <v>78</v>
      </c>
      <c r="B49" s="162"/>
      <c r="C49" s="162"/>
      <c r="D49" s="162"/>
      <c r="E49" s="1"/>
    </row>
    <row r="50" spans="1:5" x14ac:dyDescent="0.25">
      <c r="A50" s="29" t="s">
        <v>12</v>
      </c>
      <c r="B50" s="163"/>
      <c r="C50" s="163"/>
      <c r="D50" s="163"/>
      <c r="E50" s="1"/>
    </row>
    <row r="51" spans="1:5" x14ac:dyDescent="0.25">
      <c r="A51" s="29" t="s">
        <v>13</v>
      </c>
      <c r="B51" s="163"/>
      <c r="C51" s="163"/>
      <c r="D51" s="163"/>
      <c r="E51" s="1"/>
    </row>
    <row r="52" spans="1:5" x14ac:dyDescent="0.25">
      <c r="A52" s="29" t="s">
        <v>14</v>
      </c>
      <c r="B52" s="186" t="s">
        <v>6</v>
      </c>
      <c r="C52" s="186"/>
      <c r="D52" s="186"/>
      <c r="E52" s="1"/>
    </row>
    <row r="53" spans="1:5" x14ac:dyDescent="0.25">
      <c r="A53" s="29" t="s">
        <v>15</v>
      </c>
      <c r="B53" s="163"/>
      <c r="C53" s="163"/>
      <c r="D53" s="163"/>
      <c r="E53" s="1"/>
    </row>
    <row r="54" spans="1:5" x14ac:dyDescent="0.25">
      <c r="A54" s="1"/>
      <c r="B54" s="30"/>
      <c r="C54" s="30"/>
      <c r="D54" s="1"/>
      <c r="E54" s="1"/>
    </row>
    <row r="55" spans="1:5" x14ac:dyDescent="0.25">
      <c r="A55" s="29" t="s">
        <v>79</v>
      </c>
      <c r="B55" s="162"/>
      <c r="C55" s="162"/>
      <c r="D55" s="118" t="s">
        <v>100</v>
      </c>
      <c r="E55" s="161" t="s">
        <v>101</v>
      </c>
    </row>
    <row r="56" spans="1:5" x14ac:dyDescent="0.25">
      <c r="A56" s="29" t="s">
        <v>16</v>
      </c>
      <c r="B56" s="163"/>
      <c r="C56" s="163"/>
      <c r="E56" s="161"/>
    </row>
    <row r="57" spans="1:5" x14ac:dyDescent="0.25">
      <c r="A57" s="29" t="s">
        <v>17</v>
      </c>
      <c r="B57" s="163"/>
      <c r="C57" s="163"/>
      <c r="D57" s="31"/>
      <c r="E57" s="161"/>
    </row>
    <row r="58" spans="1:5" x14ac:dyDescent="0.25">
      <c r="A58" s="29" t="s">
        <v>81</v>
      </c>
      <c r="B58" s="163"/>
      <c r="C58" s="163"/>
      <c r="D58" s="44"/>
      <c r="E58" s="161"/>
    </row>
    <row r="59" spans="1:5" x14ac:dyDescent="0.25">
      <c r="A59" s="29" t="s">
        <v>18</v>
      </c>
      <c r="B59" s="163"/>
      <c r="C59" s="163"/>
      <c r="D59" s="31"/>
      <c r="E59" s="161"/>
    </row>
    <row r="60" spans="1:5" x14ac:dyDescent="0.25">
      <c r="A60" s="1"/>
      <c r="B60" s="1"/>
      <c r="C60" s="1"/>
      <c r="D60" s="1"/>
      <c r="E60" s="1"/>
    </row>
    <row r="61" spans="1:5" x14ac:dyDescent="0.25">
      <c r="A61" s="32" t="s">
        <v>19</v>
      </c>
      <c r="B61" s="166"/>
      <c r="C61" s="167"/>
      <c r="D61" s="167"/>
      <c r="E61" s="168"/>
    </row>
    <row r="62" spans="1:5" x14ac:dyDescent="0.25">
      <c r="A62" s="147" t="s">
        <v>124</v>
      </c>
      <c r="B62" s="169"/>
      <c r="C62" s="170"/>
      <c r="D62" s="170"/>
      <c r="E62" s="171"/>
    </row>
    <row r="63" spans="1:5" x14ac:dyDescent="0.25">
      <c r="A63" s="30"/>
      <c r="B63" s="169"/>
      <c r="C63" s="170"/>
      <c r="D63" s="170"/>
      <c r="E63" s="171"/>
    </row>
    <row r="64" spans="1:5" x14ac:dyDescent="0.25">
      <c r="A64" s="30"/>
      <c r="B64" s="169"/>
      <c r="C64" s="170"/>
      <c r="D64" s="170"/>
      <c r="E64" s="171"/>
    </row>
    <row r="65" spans="1:5" x14ac:dyDescent="0.25">
      <c r="A65" s="30"/>
      <c r="B65" s="169"/>
      <c r="C65" s="170"/>
      <c r="D65" s="170"/>
      <c r="E65" s="171"/>
    </row>
    <row r="66" spans="1:5" x14ac:dyDescent="0.25">
      <c r="B66" s="169"/>
      <c r="C66" s="170"/>
      <c r="D66" s="170"/>
      <c r="E66" s="171"/>
    </row>
    <row r="67" spans="1:5" x14ac:dyDescent="0.25">
      <c r="B67" s="169"/>
      <c r="C67" s="170"/>
      <c r="D67" s="170"/>
      <c r="E67" s="171"/>
    </row>
    <row r="68" spans="1:5" x14ac:dyDescent="0.25">
      <c r="B68" s="169"/>
      <c r="C68" s="170"/>
      <c r="D68" s="170"/>
      <c r="E68" s="171"/>
    </row>
    <row r="69" spans="1:5" x14ac:dyDescent="0.25">
      <c r="B69" s="172"/>
      <c r="C69" s="173"/>
      <c r="D69" s="173"/>
      <c r="E69" s="174"/>
    </row>
  </sheetData>
  <sheetProtection sheet="1" objects="1" scenarios="1"/>
  <mergeCells count="26">
    <mergeCell ref="B61:E69"/>
    <mergeCell ref="A1:E1"/>
    <mergeCell ref="A3:E3"/>
    <mergeCell ref="A4:E4"/>
    <mergeCell ref="A7:E7"/>
    <mergeCell ref="A10:E10"/>
    <mergeCell ref="A6:E6"/>
    <mergeCell ref="A48:B48"/>
    <mergeCell ref="A12:E12"/>
    <mergeCell ref="A11:E11"/>
    <mergeCell ref="B52:D52"/>
    <mergeCell ref="B53:D53"/>
    <mergeCell ref="B55:C55"/>
    <mergeCell ref="B56:C56"/>
    <mergeCell ref="A2:E2"/>
    <mergeCell ref="A5:E5"/>
    <mergeCell ref="F18:F19"/>
    <mergeCell ref="A9:E9"/>
    <mergeCell ref="E55:E59"/>
    <mergeCell ref="B49:D49"/>
    <mergeCell ref="B50:D50"/>
    <mergeCell ref="B57:C57"/>
    <mergeCell ref="B58:C58"/>
    <mergeCell ref="B59:C59"/>
    <mergeCell ref="B51:D51"/>
    <mergeCell ref="C18:E19"/>
  </mergeCells>
  <conditionalFormatting sqref="B21:B22">
    <cfRule type="expression" dxfId="8" priority="5">
      <formula>$B$22&lt;&gt;$C$22</formula>
    </cfRule>
    <cfRule type="cellIs" dxfId="7" priority="6" operator="greaterThan">
      <formula>$C$22</formula>
    </cfRule>
  </conditionalFormatting>
  <conditionalFormatting sqref="B24">
    <cfRule type="expression" dxfId="6" priority="11">
      <formula>$B$24&lt;&gt;$C$24</formula>
    </cfRule>
    <cfRule type="cellIs" dxfId="5" priority="12" operator="greaterThan">
      <formula>$C$24</formula>
    </cfRule>
  </conditionalFormatting>
  <conditionalFormatting sqref="B26">
    <cfRule type="expression" dxfId="4" priority="3">
      <formula>$B$26&lt;&gt;$C$26</formula>
    </cfRule>
    <cfRule type="cellIs" dxfId="3" priority="4" operator="greaterThan">
      <formula>$C$26</formula>
    </cfRule>
  </conditionalFormatting>
  <conditionalFormatting sqref="B27">
    <cfRule type="expression" dxfId="2" priority="1">
      <formula>$B$27&lt;&gt;$C$27</formula>
    </cfRule>
    <cfRule type="cellIs" dxfId="1" priority="2" operator="greaterThan">
      <formula>$C$27</formula>
    </cfRule>
  </conditionalFormatting>
  <conditionalFormatting sqref="B28">
    <cfRule type="cellIs" dxfId="0" priority="27" operator="greaterThan">
      <formula>#REF!</formula>
    </cfRule>
  </conditionalFormatting>
  <hyperlinks>
    <hyperlink ref="D21" location="Notes!A1" display="Notes!A1" xr:uid="{5A550F4A-AB50-4D7F-BEB8-CDC8C187280F}"/>
    <hyperlink ref="C17" location="Notes!A1" display="Notes!A1" xr:uid="{78F30652-B303-4E68-B51E-99CE8E41E36C}"/>
    <hyperlink ref="C23" location="Notes!A1" display="Notes!A1" xr:uid="{08AA52B9-220C-46A4-9C7D-23A308F10F32}"/>
  </hyperlinks>
  <printOptions horizontalCentered="1" verticalCentered="1"/>
  <pageMargins left="0.5" right="0.42708333333333298" top="0.5" bottom="0.5" header="0.3" footer="0.3"/>
  <pageSetup fitToHeight="10" orientation="portrait" r:id="rId1"/>
  <headerFooter>
    <oddFooter>&amp;L&amp;10Hawaii State Energy Office&amp;R&amp;10October 2025;  Page &amp;P</oddFooter>
  </headerFooter>
  <rowBreaks count="1" manualBreakCount="1">
    <brk id="27" max="16383" man="1"/>
  </rowBreaks>
  <ignoredErrors>
    <ignoredError sqref="B20:B2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8" r:id="rId4" name="Drop Down 4">
              <controlPr defaultSize="0" autoLine="0" autoPict="0">
                <anchor moveWithCells="1">
                  <from>
                    <xdr:col>1</xdr:col>
                    <xdr:colOff>38100</xdr:colOff>
                    <xdr:row>22</xdr:row>
                    <xdr:rowOff>19050</xdr:rowOff>
                  </from>
                  <to>
                    <xdr:col>1</xdr:col>
                    <xdr:colOff>1066800</xdr:colOff>
                    <xdr:row>22</xdr:row>
                    <xdr:rowOff>171450</xdr:rowOff>
                  </to>
                </anchor>
              </controlPr>
            </control>
          </mc:Choice>
        </mc:AlternateContent>
        <mc:AlternateContent xmlns:mc="http://schemas.openxmlformats.org/markup-compatibility/2006">
          <mc:Choice Requires="x14">
            <control shapeId="1030" r:id="rId5" name="Drop Down 6">
              <controlPr defaultSize="0" autoLine="0" autoPict="0">
                <anchor moveWithCells="1">
                  <from>
                    <xdr:col>1</xdr:col>
                    <xdr:colOff>19050</xdr:colOff>
                    <xdr:row>15</xdr:row>
                    <xdr:rowOff>171450</xdr:rowOff>
                  </from>
                  <to>
                    <xdr:col>1</xdr:col>
                    <xdr:colOff>1057275</xdr:colOff>
                    <xdr:row>16</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34"/>
  <sheetViews>
    <sheetView topLeftCell="A13" workbookViewId="0">
      <selection activeCell="B7" sqref="B7"/>
    </sheetView>
  </sheetViews>
  <sheetFormatPr defaultColWidth="8.7109375" defaultRowHeight="15" x14ac:dyDescent="0.25"/>
  <cols>
    <col min="1" max="1" width="37.140625" style="3" bestFit="1" customWidth="1"/>
    <col min="2" max="2" width="13.7109375" style="3" customWidth="1"/>
    <col min="3" max="3" width="13.42578125" style="3" customWidth="1"/>
    <col min="4" max="4" width="10.42578125" style="3" bestFit="1" customWidth="1"/>
    <col min="5" max="5" width="20.140625" style="3" bestFit="1" customWidth="1"/>
    <col min="6" max="6" width="11.85546875" style="3" customWidth="1"/>
    <col min="7" max="7" width="6.85546875" style="3" customWidth="1"/>
    <col min="8" max="16384" width="8.7109375" style="3"/>
  </cols>
  <sheetData>
    <row r="1" spans="1:7" ht="14.45" customHeight="1" x14ac:dyDescent="0.25">
      <c r="A1" s="54" t="s">
        <v>20</v>
      </c>
      <c r="C1" s="55" t="s">
        <v>86</v>
      </c>
      <c r="E1" s="55"/>
      <c r="F1" s="55"/>
      <c r="G1" s="55"/>
    </row>
    <row r="2" spans="1:7" x14ac:dyDescent="0.25">
      <c r="A2" s="56" t="s">
        <v>132</v>
      </c>
      <c r="B2" s="56" t="s">
        <v>85</v>
      </c>
      <c r="C2" s="57" t="str">
        <f>Notes!A2</f>
        <v>Note 1</v>
      </c>
      <c r="D2" s="55"/>
      <c r="E2" s="55"/>
    </row>
    <row r="3" spans="1:7" x14ac:dyDescent="0.25">
      <c r="A3" s="58">
        <v>1</v>
      </c>
      <c r="B3" s="148">
        <f>38*365</f>
        <v>13870</v>
      </c>
      <c r="D3" s="153"/>
      <c r="E3" s="153"/>
    </row>
    <row r="4" spans="1:7" x14ac:dyDescent="0.25">
      <c r="A4" s="58">
        <v>2</v>
      </c>
      <c r="B4" s="148">
        <f>55*365</f>
        <v>20075</v>
      </c>
      <c r="D4" s="153"/>
      <c r="E4" s="153"/>
      <c r="F4" s="55"/>
      <c r="G4" s="55"/>
    </row>
    <row r="5" spans="1:7" x14ac:dyDescent="0.25">
      <c r="A5" s="58">
        <v>3</v>
      </c>
      <c r="B5" s="148">
        <f>55*365</f>
        <v>20075</v>
      </c>
      <c r="D5" s="153"/>
      <c r="E5" s="153"/>
      <c r="F5" s="55"/>
      <c r="G5" s="55"/>
    </row>
    <row r="6" spans="1:7" x14ac:dyDescent="0.25">
      <c r="A6" s="58">
        <v>4</v>
      </c>
      <c r="B6" s="149">
        <f>84*365</f>
        <v>30660</v>
      </c>
      <c r="D6" s="153"/>
      <c r="E6" s="153"/>
      <c r="F6" s="55"/>
      <c r="G6" s="55"/>
    </row>
    <row r="7" spans="1:7" x14ac:dyDescent="0.25">
      <c r="A7" s="58">
        <v>5</v>
      </c>
      <c r="B7" s="149">
        <f>84*365</f>
        <v>30660</v>
      </c>
      <c r="D7" s="153"/>
      <c r="E7" s="153"/>
      <c r="F7" s="55"/>
      <c r="G7" s="55"/>
    </row>
    <row r="8" spans="1:7" x14ac:dyDescent="0.25">
      <c r="D8" s="55"/>
      <c r="E8" s="55"/>
      <c r="F8" s="55"/>
      <c r="G8" s="55"/>
    </row>
    <row r="9" spans="1:7" x14ac:dyDescent="0.25">
      <c r="A9" s="60" t="s">
        <v>2</v>
      </c>
      <c r="B9" s="188" t="s">
        <v>21</v>
      </c>
      <c r="C9" s="188"/>
      <c r="D9" s="55"/>
      <c r="E9" s="55"/>
      <c r="F9" s="55"/>
      <c r="G9" s="55"/>
    </row>
    <row r="10" spans="1:7" x14ac:dyDescent="0.25">
      <c r="A10" s="61"/>
      <c r="B10" s="46" t="s">
        <v>53</v>
      </c>
      <c r="C10" s="62" t="s">
        <v>54</v>
      </c>
      <c r="D10" s="57" t="str">
        <f>Notes!A4</f>
        <v>Note 2</v>
      </c>
      <c r="E10" s="55"/>
      <c r="F10" s="55"/>
      <c r="G10" s="55"/>
    </row>
    <row r="11" spans="1:7" x14ac:dyDescent="0.25">
      <c r="A11" s="3" t="s">
        <v>22</v>
      </c>
      <c r="B11" s="82">
        <v>0.47422936567629043</v>
      </c>
      <c r="C11" s="82">
        <v>4.12378</v>
      </c>
      <c r="D11" s="55"/>
      <c r="E11" s="55"/>
      <c r="F11" s="55"/>
      <c r="G11" s="55"/>
    </row>
    <row r="12" spans="1:7" x14ac:dyDescent="0.25">
      <c r="A12" s="3" t="s">
        <v>23</v>
      </c>
      <c r="B12" s="82">
        <v>0.40691460962561044</v>
      </c>
      <c r="C12" s="82">
        <v>4.12378</v>
      </c>
      <c r="D12" s="55"/>
      <c r="E12" s="55"/>
      <c r="F12" s="55"/>
      <c r="G12" s="55"/>
    </row>
    <row r="13" spans="1:7" x14ac:dyDescent="0.25">
      <c r="A13" s="3" t="s">
        <v>24</v>
      </c>
      <c r="B13" s="82">
        <v>0.4994480091250339</v>
      </c>
      <c r="C13" s="82">
        <v>4.12378</v>
      </c>
      <c r="D13" s="55"/>
      <c r="E13" s="55"/>
      <c r="F13" s="55"/>
      <c r="G13" s="55"/>
    </row>
    <row r="14" spans="1:7" x14ac:dyDescent="0.25">
      <c r="A14" s="3" t="s">
        <v>25</v>
      </c>
      <c r="B14" s="82">
        <v>0.43108043363088622</v>
      </c>
      <c r="C14" s="82">
        <v>4.12378</v>
      </c>
      <c r="D14" s="55"/>
      <c r="E14" s="55"/>
      <c r="F14" s="55"/>
      <c r="G14" s="55"/>
    </row>
    <row r="15" spans="1:7" x14ac:dyDescent="0.25">
      <c r="A15" s="3" t="s">
        <v>26</v>
      </c>
      <c r="B15" s="82">
        <v>0.50352242196143537</v>
      </c>
      <c r="C15" s="82">
        <v>4.12378</v>
      </c>
      <c r="D15" s="55"/>
      <c r="E15" s="55"/>
      <c r="F15" s="55"/>
      <c r="G15" s="55"/>
    </row>
    <row r="16" spans="1:7" x14ac:dyDescent="0.25">
      <c r="A16" s="61" t="s">
        <v>3</v>
      </c>
      <c r="B16" s="83">
        <v>0.42283229594570476</v>
      </c>
      <c r="C16" s="83">
        <v>6.3183600000000002</v>
      </c>
      <c r="D16" s="55"/>
      <c r="E16" s="55"/>
      <c r="F16" s="55"/>
      <c r="G16" s="55"/>
    </row>
    <row r="18" spans="1:7" ht="43.5" customHeight="1" x14ac:dyDescent="0.25">
      <c r="A18" s="137" t="s">
        <v>31</v>
      </c>
      <c r="B18" s="138" t="s">
        <v>33</v>
      </c>
      <c r="C18" s="138" t="s">
        <v>80</v>
      </c>
      <c r="D18" s="139" t="s">
        <v>105</v>
      </c>
      <c r="E18" s="53" t="s">
        <v>89</v>
      </c>
      <c r="G18" s="33"/>
    </row>
    <row r="19" spans="1:7" x14ac:dyDescent="0.25">
      <c r="A19" s="61"/>
      <c r="B19" s="140" t="s">
        <v>32</v>
      </c>
      <c r="C19" s="140"/>
      <c r="D19" s="141"/>
      <c r="G19" s="58"/>
    </row>
    <row r="20" spans="1:7" x14ac:dyDescent="0.25">
      <c r="A20" s="79" t="s">
        <v>64</v>
      </c>
      <c r="B20" s="130">
        <v>15</v>
      </c>
      <c r="C20" s="131">
        <v>1200</v>
      </c>
      <c r="D20" s="132">
        <v>0.92</v>
      </c>
      <c r="E20" s="63" t="str">
        <f>Notes!A9&amp;", "&amp;Notes!A19&amp;", "&amp;Notes!A22</f>
        <v>Note 4, Note 10, Note 12</v>
      </c>
    </row>
    <row r="21" spans="1:7" x14ac:dyDescent="0.25">
      <c r="A21" s="58" t="s">
        <v>48</v>
      </c>
      <c r="B21" s="64">
        <v>20</v>
      </c>
      <c r="C21" s="65">
        <v>2300</v>
      </c>
      <c r="D21" s="133">
        <v>0.82</v>
      </c>
      <c r="E21" s="63" t="str">
        <f>Notes!A9&amp;", "&amp;Notes!A19&amp;", "&amp;Notes!A22</f>
        <v>Note 4, Note 10, Note 12</v>
      </c>
      <c r="G21" s="58"/>
    </row>
    <row r="22" spans="1:7" x14ac:dyDescent="0.25">
      <c r="A22" s="134" t="s">
        <v>10</v>
      </c>
      <c r="B22" s="64">
        <v>15</v>
      </c>
      <c r="C22" s="65">
        <v>3300</v>
      </c>
      <c r="D22" s="133">
        <v>3.42</v>
      </c>
      <c r="E22" s="63" t="str">
        <f>Notes!A11&amp;", "&amp;Notes!A19&amp;", "&amp;Notes!A22</f>
        <v>Note 5, Note 10, Note 12</v>
      </c>
      <c r="G22" s="58"/>
    </row>
    <row r="23" spans="1:7" x14ac:dyDescent="0.25">
      <c r="A23" s="58" t="s">
        <v>106</v>
      </c>
      <c r="B23" s="64">
        <v>15</v>
      </c>
      <c r="C23" s="65">
        <v>9100</v>
      </c>
      <c r="D23" s="133">
        <v>10</v>
      </c>
      <c r="E23" s="63" t="str">
        <f>Notes!A18&amp;", "&amp;Notes!A24&amp;", "&amp;Notes!A26</f>
        <v>Note 9, Note 13, Note 14</v>
      </c>
      <c r="G23" s="58"/>
    </row>
    <row r="24" spans="1:7" x14ac:dyDescent="0.25">
      <c r="A24" s="135" t="s">
        <v>107</v>
      </c>
      <c r="B24" s="46">
        <v>15</v>
      </c>
      <c r="C24" s="152">
        <v>9100</v>
      </c>
      <c r="D24" s="136">
        <v>7.98</v>
      </c>
      <c r="E24" s="63" t="str">
        <f>Notes!A18&amp;", "&amp;Notes!A24&amp;", "&amp;Notes!A26</f>
        <v>Note 9, Note 13, Note 14</v>
      </c>
      <c r="G24" s="58"/>
    </row>
    <row r="25" spans="1:7" x14ac:dyDescent="0.25">
      <c r="G25" s="58"/>
    </row>
    <row r="26" spans="1:7" ht="15.75" thickBot="1" x14ac:dyDescent="0.3">
      <c r="A26" s="66" t="s">
        <v>28</v>
      </c>
      <c r="B26" s="67"/>
      <c r="C26" s="68"/>
    </row>
    <row r="27" spans="1:7" ht="15.75" thickTop="1" x14ac:dyDescent="0.25">
      <c r="A27" s="69" t="s">
        <v>63</v>
      </c>
      <c r="B27" s="70">
        <f>INDEX(water_use_def,bedroom_no)</f>
        <v>20075</v>
      </c>
      <c r="C27" s="68"/>
      <c r="D27" s="58"/>
      <c r="E27" s="58"/>
      <c r="F27" s="58"/>
    </row>
    <row r="28" spans="1:7" x14ac:dyDescent="0.25">
      <c r="A28" s="71" t="s">
        <v>21</v>
      </c>
      <c r="B28" s="72"/>
      <c r="C28" s="68"/>
      <c r="D28" s="58"/>
      <c r="E28" s="58"/>
      <c r="F28" s="58"/>
    </row>
    <row r="29" spans="1:7" x14ac:dyDescent="0.25">
      <c r="A29" s="73" t="s">
        <v>34</v>
      </c>
      <c r="B29" s="74">
        <f xml:space="preserve"> INDEX(energy_rate_kWh_def, island_ent)</f>
        <v>0.47422936567629043</v>
      </c>
      <c r="C29" s="68"/>
      <c r="D29" s="75"/>
    </row>
    <row r="30" spans="1:7" x14ac:dyDescent="0.25">
      <c r="A30" s="76" t="s">
        <v>35</v>
      </c>
      <c r="B30" s="77">
        <f xml:space="preserve"> INDEX(energy_rate_therm_def, island_ent)</f>
        <v>4.12378</v>
      </c>
      <c r="C30" s="68"/>
      <c r="D30" s="75"/>
    </row>
    <row r="31" spans="1:7" x14ac:dyDescent="0.25">
      <c r="A31" s="78" t="s">
        <v>27</v>
      </c>
      <c r="B31" s="58"/>
      <c r="C31" s="68"/>
    </row>
    <row r="32" spans="1:7" x14ac:dyDescent="0.25">
      <c r="A32" s="79" t="s">
        <v>37</v>
      </c>
      <c r="B32" s="4">
        <v>0.13443728018757325</v>
      </c>
      <c r="C32" s="57" t="str">
        <f>Notes!A8</f>
        <v>Note 3</v>
      </c>
      <c r="D32" s="80"/>
      <c r="E32" s="81"/>
    </row>
    <row r="33" spans="1:5" x14ac:dyDescent="0.25">
      <c r="A33" s="59" t="s">
        <v>36</v>
      </c>
      <c r="B33" s="5">
        <v>4.5881011442746259E-3</v>
      </c>
      <c r="C33" s="57" t="str">
        <f>Notes!A8</f>
        <v>Note 3</v>
      </c>
      <c r="D33" s="80"/>
      <c r="E33" s="81"/>
    </row>
    <row r="34" spans="1:5" x14ac:dyDescent="0.25">
      <c r="C34" s="68"/>
    </row>
  </sheetData>
  <sheetProtection sheet="1" objects="1" scenarios="1"/>
  <mergeCells count="1">
    <mergeCell ref="B9:C9"/>
  </mergeCells>
  <hyperlinks>
    <hyperlink ref="C2" location="Notes!A1" display="Notes!A1" xr:uid="{00000000-0004-0000-0100-000000000000}"/>
    <hyperlink ref="E20" location="Notes!A1" display="Notes!A1" xr:uid="{00000000-0004-0000-0100-000001000000}"/>
    <hyperlink ref="E22" location="Notes!A1" display="Notes!A1" xr:uid="{00000000-0004-0000-0100-000002000000}"/>
    <hyperlink ref="E23" location="Notes!A1" display="Notes!A1" xr:uid="{00000000-0004-0000-0100-000003000000}"/>
    <hyperlink ref="D10" location="Notes!A1" display="Notes!A1" xr:uid="{00000000-0004-0000-0100-000004000000}"/>
    <hyperlink ref="C32" location="Notes!A1" display="Notes!A1" xr:uid="{00000000-0004-0000-0100-000005000000}"/>
    <hyperlink ref="C33" location="Notes!A1" display="Notes!A1" xr:uid="{00000000-0004-0000-0100-000006000000}"/>
  </hyperlinks>
  <printOptions horizontalCentered="1" gridLines="1"/>
  <pageMargins left="0.25" right="0.25" top="0.75" bottom="0.5" header="0.3" footer="0.3"/>
  <pageSetup orientation="portrait" r:id="rId1"/>
  <headerFooter>
    <oddHeader>&amp;LFile: &amp;F&amp;C&amp;"-,Bold"&amp;14Lookup Tables&amp;RTab: &amp;A</oddHeader>
    <oddFooter>&amp;L&amp;12DBEDT Hawaii State Energy Office&amp;R&amp;12January 22, 2020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U68"/>
  <sheetViews>
    <sheetView zoomScale="90" zoomScaleNormal="90" workbookViewId="0">
      <pane xSplit="1" ySplit="10" topLeftCell="B11" activePane="bottomRight" state="frozen"/>
      <selection sqref="A1:E1"/>
      <selection pane="topRight" sqref="A1:E1"/>
      <selection pane="bottomLeft" sqref="A1:E1"/>
      <selection pane="bottomRight" activeCell="A11" sqref="A11"/>
    </sheetView>
  </sheetViews>
  <sheetFormatPr defaultColWidth="9.140625" defaultRowHeight="12.75" x14ac:dyDescent="0.25"/>
  <cols>
    <col min="1" max="1" width="29.5703125" style="28" customWidth="1"/>
    <col min="2" max="5" width="12.140625" style="85" customWidth="1"/>
    <col min="6" max="6" width="8" style="85" customWidth="1"/>
    <col min="7" max="10" width="12.140625" style="85" customWidth="1"/>
    <col min="11" max="11" width="2.42578125" style="85" customWidth="1"/>
    <col min="12" max="15" width="12.140625" style="85" customWidth="1"/>
    <col min="16" max="16" width="2.5703125" style="85" customWidth="1"/>
    <col min="17" max="20" width="12.140625" style="85" customWidth="1"/>
    <col min="21" max="16384" width="9.140625" style="28"/>
  </cols>
  <sheetData>
    <row r="1" spans="1:20" ht="15.75" x14ac:dyDescent="0.25">
      <c r="A1" s="27" t="s">
        <v>39</v>
      </c>
      <c r="F1" s="85" t="s">
        <v>84</v>
      </c>
    </row>
    <row r="2" spans="1:20" x14ac:dyDescent="0.25">
      <c r="A2" s="86"/>
      <c r="B2" s="87" t="s">
        <v>9</v>
      </c>
      <c r="C2" s="87" t="s">
        <v>5</v>
      </c>
      <c r="D2" s="87" t="s">
        <v>29</v>
      </c>
      <c r="E2" s="88" t="s">
        <v>40</v>
      </c>
      <c r="H2" s="89"/>
    </row>
    <row r="3" spans="1:20" ht="15" x14ac:dyDescent="0.25">
      <c r="A3" s="90" t="s">
        <v>41</v>
      </c>
      <c r="B3" s="151">
        <v>6.7938709677419356</v>
      </c>
      <c r="C3" s="151">
        <v>6.7938709677419356</v>
      </c>
      <c r="D3" s="151">
        <v>6.7938709677419356</v>
      </c>
      <c r="E3" s="154">
        <v>6.7938709677419356</v>
      </c>
      <c r="F3" s="92" t="str">
        <f>Notes!A12</f>
        <v>Note 6</v>
      </c>
      <c r="H3" s="93"/>
    </row>
    <row r="4" spans="1:20" ht="15" x14ac:dyDescent="0.25">
      <c r="A4" s="90" t="s">
        <v>42</v>
      </c>
      <c r="B4" s="151">
        <v>5.769577591542574</v>
      </c>
      <c r="C4" s="151">
        <v>5.769577591542574</v>
      </c>
      <c r="D4" s="151">
        <v>2.8004577112508811</v>
      </c>
      <c r="E4" s="154">
        <v>5.769577591542574</v>
      </c>
      <c r="F4" s="92" t="str">
        <f>Notes!A14</f>
        <v>Note 7</v>
      </c>
      <c r="H4" s="93"/>
    </row>
    <row r="5" spans="1:20" ht="14.25" customHeight="1" x14ac:dyDescent="0.25">
      <c r="A5" s="90" t="s">
        <v>67</v>
      </c>
      <c r="B5" s="151">
        <v>3.2705845198750638</v>
      </c>
      <c r="C5" s="151">
        <v>3.2705845198750638</v>
      </c>
      <c r="D5" s="151">
        <v>3.2705845198750638</v>
      </c>
      <c r="E5" s="154">
        <v>3.2705845198750638</v>
      </c>
      <c r="F5" s="92" t="str">
        <f>Notes!A16</f>
        <v>Note 8</v>
      </c>
      <c r="H5" s="93"/>
    </row>
    <row r="6" spans="1:20" ht="25.5" customHeight="1" x14ac:dyDescent="0.25">
      <c r="A6" s="94" t="s">
        <v>68</v>
      </c>
      <c r="B6" s="95">
        <v>0</v>
      </c>
      <c r="C6" s="95">
        <v>0</v>
      </c>
      <c r="D6" s="95">
        <v>0</v>
      </c>
      <c r="E6" s="96">
        <v>0</v>
      </c>
      <c r="F6" s="92" t="str">
        <f>Notes!A29</f>
        <v>Note 16</v>
      </c>
      <c r="H6" s="93"/>
    </row>
    <row r="7" spans="1:20" x14ac:dyDescent="0.25">
      <c r="B7" s="28"/>
      <c r="C7" s="28"/>
      <c r="D7" s="28"/>
      <c r="E7" s="28"/>
      <c r="H7" s="93"/>
    </row>
    <row r="9" spans="1:20" x14ac:dyDescent="0.25">
      <c r="A9" s="28" t="s">
        <v>91</v>
      </c>
      <c r="B9" s="189" t="s">
        <v>9</v>
      </c>
      <c r="C9" s="190"/>
      <c r="D9" s="190"/>
      <c r="E9" s="191"/>
      <c r="G9" s="189" t="s">
        <v>46</v>
      </c>
      <c r="H9" s="190"/>
      <c r="I9" s="190"/>
      <c r="J9" s="191"/>
      <c r="L9" s="189" t="s">
        <v>48</v>
      </c>
      <c r="M9" s="190"/>
      <c r="N9" s="190"/>
      <c r="O9" s="191"/>
      <c r="Q9" s="189" t="s">
        <v>5</v>
      </c>
      <c r="R9" s="190"/>
      <c r="S9" s="190"/>
      <c r="T9" s="191"/>
    </row>
    <row r="10" spans="1:20" ht="26.1" customHeight="1" x14ac:dyDescent="0.25">
      <c r="A10" s="13" t="s">
        <v>43</v>
      </c>
      <c r="B10" s="97" t="s">
        <v>47</v>
      </c>
      <c r="C10" s="98" t="s">
        <v>45</v>
      </c>
      <c r="D10" s="98" t="s">
        <v>44</v>
      </c>
      <c r="E10" s="116" t="s">
        <v>95</v>
      </c>
      <c r="G10" s="97" t="s">
        <v>47</v>
      </c>
      <c r="H10" s="98" t="s">
        <v>45</v>
      </c>
      <c r="I10" s="98" t="s">
        <v>44</v>
      </c>
      <c r="J10" s="116" t="s">
        <v>95</v>
      </c>
      <c r="L10" s="97" t="s">
        <v>47</v>
      </c>
      <c r="M10" s="98" t="s">
        <v>45</v>
      </c>
      <c r="N10" s="98" t="s">
        <v>44</v>
      </c>
      <c r="O10" s="116" t="s">
        <v>95</v>
      </c>
      <c r="Q10" s="97" t="s">
        <v>47</v>
      </c>
      <c r="R10" s="98" t="s">
        <v>45</v>
      </c>
      <c r="S10" s="98" t="s">
        <v>44</v>
      </c>
      <c r="T10" s="116" t="s">
        <v>95</v>
      </c>
    </row>
    <row r="11" spans="1:20" x14ac:dyDescent="0.25">
      <c r="A11" s="13">
        <v>0</v>
      </c>
      <c r="B11" s="99"/>
      <c r="C11" s="85">
        <f>(solar_cost-rebate_solar)</f>
        <v>0</v>
      </c>
      <c r="D11" s="85">
        <f>B11+C11</f>
        <v>0</v>
      </c>
      <c r="E11" s="100">
        <f>D11/(1+B$3/100)^A11</f>
        <v>0</v>
      </c>
      <c r="G11" s="99"/>
      <c r="H11" s="85">
        <f>IF(tech_ent=3, tech_Costs-tech_rebate, 0)</f>
        <v>3300</v>
      </c>
      <c r="I11" s="85">
        <f>H11+G11</f>
        <v>3300</v>
      </c>
      <c r="J11" s="100">
        <f t="shared" ref="J11:J41" si="0">I11/(1+discount_rate/100)^$A11</f>
        <v>3300</v>
      </c>
      <c r="L11" s="99"/>
      <c r="M11" s="85">
        <f>IF(tech_ent=2, tech_Costs-tech_rebate, 0)</f>
        <v>0</v>
      </c>
      <c r="N11" s="85">
        <f>M11+L11</f>
        <v>0</v>
      </c>
      <c r="O11" s="100">
        <f t="shared" ref="O11:O41" si="1">N11/(1+discount_rate/100)^$A11</f>
        <v>0</v>
      </c>
      <c r="Q11" s="99"/>
      <c r="R11" s="85">
        <f>IF(tech_ent=1, tech_Costs-tech_rebate,0)</f>
        <v>0</v>
      </c>
      <c r="S11" s="85">
        <f>R11+Q11</f>
        <v>0</v>
      </c>
      <c r="T11" s="100">
        <f t="shared" ref="T11:T41" si="2">S11/(1+discount_rate/100)^$A11</f>
        <v>0</v>
      </c>
    </row>
    <row r="12" spans="1:20" x14ac:dyDescent="0.25">
      <c r="A12" s="13">
        <v>1</v>
      </c>
      <c r="B12" s="101">
        <f>water_use_ent*energy_to_heat_water_kWh_ent*energy_rate_kWh_ent*(1+Energy_inflat/100)^$A12/solar_EF_ent</f>
        <v>135.37064081787295</v>
      </c>
      <c r="C12" s="85">
        <f t="shared" ref="C12:C41" si="3">maintain_pct_solar/100*solar_cost*(1+Equip_inflat/100)^((QUOTIENT($A12,solar_life_span_ent)-(MOD($A12,solar_life_span_ent)=0))*solar_life_span_ent)/solar_life_span_ent+(solar_cost)*(1+Equip_inflat/100)^$A12*(MOD($A12,solar_life_span_ent)=0)*($A12&lt;&gt;30)</f>
        <v>0</v>
      </c>
      <c r="D12" s="85">
        <f>B12+C12</f>
        <v>135.37064081787295</v>
      </c>
      <c r="E12" s="100">
        <f t="shared" ref="E12:E41" si="4">D12/(1+discount_rate/100)^$A12</f>
        <v>126.75881077366593</v>
      </c>
      <c r="G12" s="101">
        <f t="shared" ref="G12:G41" si="5">IF(tech_ent=3, water_use_ent*energy_to_heat_water_kWh_ent*energy_rate_kWh_ent*(1+Energy_inflat/100)^$A12/tech_EF_ent, 0)</f>
        <v>395.82058718676302</v>
      </c>
      <c r="H12" s="85">
        <f t="shared" ref="H12:H41" si="6">IF(tech_ent=3, maintain_pct_pump/100*tech_Costs*(1+Equip_inflat/100)^((QUOTIENT($A12,tech_life_span_ent)-(MOD($A12,tech_life_span_ent)=0))*tech_life_span_ent)/tech_life_span_ent+(tech_Costs-tech_rebate*0)*(1+Equip_inflat/100)^$A12*(MOD($A12,tech_life_span_ent)=0)*($A12&lt;&gt;30),0)</f>
        <v>0</v>
      </c>
      <c r="I12" s="85">
        <f>G12+H12</f>
        <v>395.82058718676302</v>
      </c>
      <c r="J12" s="100">
        <f t="shared" si="0"/>
        <v>370.63979758381851</v>
      </c>
      <c r="L12" s="101">
        <f t="shared" ref="L12:L41" si="7">IF(tech_ent=2, water_use_ent*energy_to_heat_water_therm_ent*energy_rate_therm_ent*(1+Therm_inflat/100)^$A12/tech_EF_ent, 0)</f>
        <v>0</v>
      </c>
      <c r="M12" s="85">
        <f t="shared" ref="M12:M41" si="8">IF(tech_ent=2,maintain_pct_gas/100*tech_Costs*(1+Equip_inflat/100)^((QUOTIENT($A12,tech_life_span_ent)-(MOD($A12,tech_life_span_ent)=0))*tech_life_span_ent)/tech_life_span_ent+(tech_Costs-tech_rebate*0)*(1+Equip_inflat/100)^$A12*(MOD($A12,tech_life_span_ent)=0)*($A12&lt;&gt;30), 0)</f>
        <v>0</v>
      </c>
      <c r="N12" s="85">
        <f>L12+M12</f>
        <v>0</v>
      </c>
      <c r="O12" s="100">
        <f t="shared" si="1"/>
        <v>0</v>
      </c>
      <c r="Q12" s="101">
        <f t="shared" ref="Q12:Q41" si="9">IF(tech_ent=1, water_use_ent*energy_to_heat_water_kWh_ent*energy_rate_kWh_ent*(1+Energy_inflat/100)^$A12/tech_EF_ent,0)</f>
        <v>0</v>
      </c>
      <c r="R12" s="85">
        <f t="shared" ref="R12:R41" si="10">IF(tech_ent=1, maintain_pct_electric/100*tech_Costs*(1+Equip_inflat/100)^((QUOTIENT($A12,tech_life_span_ent)-(MOD($A12,tech_life_span_ent)=0))*tech_life_span_ent)/tech_life_span_ent+(tech_Costs-tech_rebate*0)*(1+Equip_inflat/100)^$A12*(MOD($A12,tech_life_span_ent)=0)*($A12&lt;&gt;30), 0)</f>
        <v>0</v>
      </c>
      <c r="S12" s="85">
        <f>Q12+R12</f>
        <v>0</v>
      </c>
      <c r="T12" s="100">
        <f t="shared" si="2"/>
        <v>0</v>
      </c>
    </row>
    <row r="13" spans="1:20" x14ac:dyDescent="0.25">
      <c r="A13" s="13">
        <v>2</v>
      </c>
      <c r="B13" s="101">
        <f t="shared" ref="B13:B41" si="11">water_use_ent*energy_to_heat_water_kWh_ent*energy_rate_kWh_ent*(1+Energy_inflat/100)^$A13/solar_EF_ent</f>
        <v>143.18095497602854</v>
      </c>
      <c r="C13" s="85">
        <f t="shared" si="3"/>
        <v>0</v>
      </c>
      <c r="D13" s="85">
        <f t="shared" ref="D13:D26" si="12">B13+C13</f>
        <v>143.18095497602854</v>
      </c>
      <c r="E13" s="100">
        <f>D13/(1+discount_rate/100)^$A13</f>
        <v>125.5430274232376</v>
      </c>
      <c r="G13" s="101">
        <f t="shared" si="5"/>
        <v>418.65776308780272</v>
      </c>
      <c r="H13" s="85">
        <f t="shared" si="6"/>
        <v>0</v>
      </c>
      <c r="I13" s="85">
        <f t="shared" ref="I13:I41" si="13">G13+H13</f>
        <v>418.65776308780272</v>
      </c>
      <c r="J13" s="100">
        <f t="shared" si="0"/>
        <v>367.08487550654263</v>
      </c>
      <c r="L13" s="101">
        <f t="shared" si="7"/>
        <v>0</v>
      </c>
      <c r="M13" s="85">
        <f t="shared" si="8"/>
        <v>0</v>
      </c>
      <c r="N13" s="85">
        <f t="shared" ref="N13:N41" si="14">L13+M13</f>
        <v>0</v>
      </c>
      <c r="O13" s="100">
        <f t="shared" si="1"/>
        <v>0</v>
      </c>
      <c r="Q13" s="101">
        <f t="shared" si="9"/>
        <v>0</v>
      </c>
      <c r="R13" s="85">
        <f t="shared" si="10"/>
        <v>0</v>
      </c>
      <c r="S13" s="85">
        <f t="shared" ref="S13:S41" si="15">Q13+R13</f>
        <v>0</v>
      </c>
      <c r="T13" s="100">
        <f t="shared" si="2"/>
        <v>0</v>
      </c>
    </row>
    <row r="14" spans="1:20" x14ac:dyDescent="0.25">
      <c r="A14" s="13">
        <v>3</v>
      </c>
      <c r="B14" s="101">
        <f t="shared" si="11"/>
        <v>151.44189126968212</v>
      </c>
      <c r="C14" s="85">
        <f t="shared" si="3"/>
        <v>0</v>
      </c>
      <c r="D14" s="85">
        <f t="shared" si="12"/>
        <v>151.44189126968212</v>
      </c>
      <c r="E14" s="100">
        <f t="shared" si="4"/>
        <v>124.33890503070366</v>
      </c>
      <c r="G14" s="101">
        <f t="shared" si="5"/>
        <v>442.81254757216999</v>
      </c>
      <c r="H14" s="85">
        <f t="shared" si="6"/>
        <v>0</v>
      </c>
      <c r="I14" s="85">
        <f t="shared" si="13"/>
        <v>442.81254757216999</v>
      </c>
      <c r="J14" s="100">
        <f t="shared" si="0"/>
        <v>363.56404979737914</v>
      </c>
      <c r="L14" s="101">
        <f t="shared" si="7"/>
        <v>0</v>
      </c>
      <c r="M14" s="85">
        <f t="shared" si="8"/>
        <v>0</v>
      </c>
      <c r="N14" s="85">
        <f t="shared" si="14"/>
        <v>0</v>
      </c>
      <c r="O14" s="100">
        <f t="shared" si="1"/>
        <v>0</v>
      </c>
      <c r="Q14" s="101">
        <f t="shared" si="9"/>
        <v>0</v>
      </c>
      <c r="R14" s="85">
        <f t="shared" si="10"/>
        <v>0</v>
      </c>
      <c r="S14" s="85">
        <f t="shared" si="15"/>
        <v>0</v>
      </c>
      <c r="T14" s="100">
        <f t="shared" si="2"/>
        <v>0</v>
      </c>
    </row>
    <row r="15" spans="1:20" x14ac:dyDescent="0.25">
      <c r="A15" s="13">
        <v>4</v>
      </c>
      <c r="B15" s="101">
        <f t="shared" si="11"/>
        <v>160.17944869258599</v>
      </c>
      <c r="C15" s="85">
        <f t="shared" si="3"/>
        <v>0</v>
      </c>
      <c r="D15" s="85">
        <f t="shared" si="12"/>
        <v>160.17944869258599</v>
      </c>
      <c r="E15" s="100">
        <f t="shared" si="4"/>
        <v>123.1463317521744</v>
      </c>
      <c r="G15" s="101">
        <f t="shared" si="5"/>
        <v>468.36096108943275</v>
      </c>
      <c r="H15" s="85">
        <f t="shared" si="6"/>
        <v>0</v>
      </c>
      <c r="I15" s="85">
        <f t="shared" si="13"/>
        <v>468.36096108943275</v>
      </c>
      <c r="J15" s="100">
        <f t="shared" si="0"/>
        <v>360.07699342741057</v>
      </c>
      <c r="L15" s="101">
        <f t="shared" si="7"/>
        <v>0</v>
      </c>
      <c r="M15" s="85">
        <f t="shared" si="8"/>
        <v>0</v>
      </c>
      <c r="N15" s="85">
        <f t="shared" si="14"/>
        <v>0</v>
      </c>
      <c r="O15" s="100">
        <f t="shared" si="1"/>
        <v>0</v>
      </c>
      <c r="Q15" s="101">
        <f t="shared" si="9"/>
        <v>0</v>
      </c>
      <c r="R15" s="85">
        <f t="shared" si="10"/>
        <v>0</v>
      </c>
      <c r="S15" s="85">
        <f t="shared" si="15"/>
        <v>0</v>
      </c>
      <c r="T15" s="100">
        <f t="shared" si="2"/>
        <v>0</v>
      </c>
    </row>
    <row r="16" spans="1:20" x14ac:dyDescent="0.25">
      <c r="A16" s="13">
        <v>5</v>
      </c>
      <c r="B16" s="101">
        <f t="shared" si="11"/>
        <v>169.42112627060985</v>
      </c>
      <c r="C16" s="85">
        <f t="shared" si="3"/>
        <v>0</v>
      </c>
      <c r="D16" s="85">
        <f t="shared" si="12"/>
        <v>169.42112627060985</v>
      </c>
      <c r="E16" s="100">
        <f t="shared" si="4"/>
        <v>121.96519681648972</v>
      </c>
      <c r="G16" s="101">
        <f t="shared" si="5"/>
        <v>495.38341014798203</v>
      </c>
      <c r="H16" s="85">
        <f t="shared" si="6"/>
        <v>0</v>
      </c>
      <c r="I16" s="85">
        <f t="shared" si="13"/>
        <v>495.38341014798203</v>
      </c>
      <c r="J16" s="100">
        <f t="shared" si="0"/>
        <v>356.6233825043559</v>
      </c>
      <c r="L16" s="101">
        <f t="shared" si="7"/>
        <v>0</v>
      </c>
      <c r="M16" s="85">
        <f t="shared" si="8"/>
        <v>0</v>
      </c>
      <c r="N16" s="85">
        <f t="shared" si="14"/>
        <v>0</v>
      </c>
      <c r="O16" s="100">
        <f t="shared" si="1"/>
        <v>0</v>
      </c>
      <c r="Q16" s="101">
        <f t="shared" si="9"/>
        <v>0</v>
      </c>
      <c r="R16" s="85">
        <f t="shared" si="10"/>
        <v>0</v>
      </c>
      <c r="S16" s="85">
        <f t="shared" si="15"/>
        <v>0</v>
      </c>
      <c r="T16" s="100">
        <f t="shared" si="2"/>
        <v>0</v>
      </c>
    </row>
    <row r="17" spans="1:21" x14ac:dyDescent="0.25">
      <c r="A17" s="13">
        <v>6</v>
      </c>
      <c r="B17" s="101">
        <f t="shared" si="11"/>
        <v>179.19600960725802</v>
      </c>
      <c r="C17" s="85">
        <f t="shared" si="3"/>
        <v>0</v>
      </c>
      <c r="D17" s="85">
        <f t="shared" si="12"/>
        <v>179.19600960725802</v>
      </c>
      <c r="E17" s="100">
        <f t="shared" si="4"/>
        <v>120.79539051493038</v>
      </c>
      <c r="G17" s="101">
        <f t="shared" si="5"/>
        <v>523.96494037209948</v>
      </c>
      <c r="H17" s="85">
        <f t="shared" si="6"/>
        <v>0</v>
      </c>
      <c r="I17" s="85">
        <f t="shared" si="13"/>
        <v>523.96494037209948</v>
      </c>
      <c r="J17" s="100">
        <f t="shared" si="0"/>
        <v>353.20289624248647</v>
      </c>
      <c r="L17" s="101">
        <f t="shared" si="7"/>
        <v>0</v>
      </c>
      <c r="M17" s="85">
        <f t="shared" si="8"/>
        <v>0</v>
      </c>
      <c r="N17" s="85">
        <f t="shared" si="14"/>
        <v>0</v>
      </c>
      <c r="O17" s="100">
        <f t="shared" si="1"/>
        <v>0</v>
      </c>
      <c r="Q17" s="101">
        <f t="shared" si="9"/>
        <v>0</v>
      </c>
      <c r="R17" s="85">
        <f t="shared" si="10"/>
        <v>0</v>
      </c>
      <c r="S17" s="85">
        <f t="shared" si="15"/>
        <v>0</v>
      </c>
      <c r="T17" s="100">
        <f t="shared" si="2"/>
        <v>0</v>
      </c>
    </row>
    <row r="18" spans="1:21" x14ac:dyDescent="0.25">
      <c r="A18" s="13">
        <v>7</v>
      </c>
      <c r="B18" s="101">
        <f t="shared" si="11"/>
        <v>189.53486242249681</v>
      </c>
      <c r="C18" s="85">
        <f t="shared" si="3"/>
        <v>0</v>
      </c>
      <c r="D18" s="85">
        <f t="shared" si="12"/>
        <v>189.53486242249681</v>
      </c>
      <c r="E18" s="100">
        <f t="shared" si="4"/>
        <v>119.63680419102764</v>
      </c>
      <c r="G18" s="101">
        <f t="shared" si="5"/>
        <v>554.19550415934748</v>
      </c>
      <c r="H18" s="85">
        <f t="shared" si="6"/>
        <v>0</v>
      </c>
      <c r="I18" s="85">
        <f t="shared" si="13"/>
        <v>554.19550415934748</v>
      </c>
      <c r="J18" s="100">
        <f t="shared" si="0"/>
        <v>349.8152169328294</v>
      </c>
      <c r="L18" s="101">
        <f t="shared" si="7"/>
        <v>0</v>
      </c>
      <c r="M18" s="85">
        <f t="shared" si="8"/>
        <v>0</v>
      </c>
      <c r="N18" s="85">
        <f t="shared" si="14"/>
        <v>0</v>
      </c>
      <c r="O18" s="100">
        <f t="shared" si="1"/>
        <v>0</v>
      </c>
      <c r="Q18" s="101">
        <f t="shared" si="9"/>
        <v>0</v>
      </c>
      <c r="R18" s="85">
        <f t="shared" si="10"/>
        <v>0</v>
      </c>
      <c r="S18" s="85">
        <f t="shared" si="15"/>
        <v>0</v>
      </c>
      <c r="T18" s="100">
        <f t="shared" si="2"/>
        <v>0</v>
      </c>
    </row>
    <row r="19" spans="1:21" x14ac:dyDescent="0.25">
      <c r="A19" s="13">
        <v>8</v>
      </c>
      <c r="B19" s="101">
        <f t="shared" si="11"/>
        <v>200.47022337298625</v>
      </c>
      <c r="C19" s="85">
        <f t="shared" si="3"/>
        <v>0</v>
      </c>
      <c r="D19" s="85">
        <f t="shared" si="12"/>
        <v>200.47022337298625</v>
      </c>
      <c r="E19" s="100">
        <f t="shared" si="4"/>
        <v>118.489330230471</v>
      </c>
      <c r="G19" s="101">
        <f t="shared" si="5"/>
        <v>586.17024378066162</v>
      </c>
      <c r="H19" s="85">
        <f t="shared" si="6"/>
        <v>0</v>
      </c>
      <c r="I19" s="85">
        <f t="shared" si="13"/>
        <v>586.17024378066162</v>
      </c>
      <c r="J19" s="100">
        <f t="shared" si="0"/>
        <v>346.46002991365793</v>
      </c>
      <c r="L19" s="101">
        <f t="shared" si="7"/>
        <v>0</v>
      </c>
      <c r="M19" s="85">
        <f t="shared" si="8"/>
        <v>0</v>
      </c>
      <c r="N19" s="85">
        <f t="shared" si="14"/>
        <v>0</v>
      </c>
      <c r="O19" s="100">
        <f t="shared" si="1"/>
        <v>0</v>
      </c>
      <c r="Q19" s="101">
        <f t="shared" si="9"/>
        <v>0</v>
      </c>
      <c r="R19" s="85">
        <f t="shared" si="10"/>
        <v>0</v>
      </c>
      <c r="S19" s="85">
        <f t="shared" si="15"/>
        <v>0</v>
      </c>
      <c r="T19" s="100">
        <f t="shared" si="2"/>
        <v>0</v>
      </c>
    </row>
    <row r="20" spans="1:21" x14ac:dyDescent="0.25">
      <c r="A20" s="13">
        <v>9</v>
      </c>
      <c r="B20" s="101">
        <f t="shared" si="11"/>
        <v>212.03650845842944</v>
      </c>
      <c r="C20" s="85">
        <f t="shared" si="3"/>
        <v>0</v>
      </c>
      <c r="D20" s="85">
        <f t="shared" si="12"/>
        <v>212.03650845842944</v>
      </c>
      <c r="E20" s="100">
        <f t="shared" si="4"/>
        <v>117.35286205111238</v>
      </c>
      <c r="G20" s="101">
        <f t="shared" si="5"/>
        <v>619.98979081412119</v>
      </c>
      <c r="H20" s="85">
        <f t="shared" si="6"/>
        <v>0</v>
      </c>
      <c r="I20" s="85">
        <f t="shared" si="13"/>
        <v>619.98979081412119</v>
      </c>
      <c r="J20" s="100">
        <f t="shared" si="0"/>
        <v>343.13702354126428</v>
      </c>
      <c r="L20" s="101">
        <f t="shared" si="7"/>
        <v>0</v>
      </c>
      <c r="M20" s="85">
        <f t="shared" si="8"/>
        <v>0</v>
      </c>
      <c r="N20" s="85">
        <f t="shared" si="14"/>
        <v>0</v>
      </c>
      <c r="O20" s="100">
        <f t="shared" si="1"/>
        <v>0</v>
      </c>
      <c r="Q20" s="101">
        <f t="shared" si="9"/>
        <v>0</v>
      </c>
      <c r="R20" s="85">
        <f t="shared" si="10"/>
        <v>0</v>
      </c>
      <c r="S20" s="85">
        <f t="shared" si="15"/>
        <v>0</v>
      </c>
      <c r="T20" s="100">
        <f t="shared" si="2"/>
        <v>0</v>
      </c>
    </row>
    <row r="21" spans="1:21" x14ac:dyDescent="0.25">
      <c r="A21" s="13">
        <v>10</v>
      </c>
      <c r="B21" s="101">
        <f t="shared" si="11"/>
        <v>224.27011933633625</v>
      </c>
      <c r="C21" s="85">
        <f t="shared" si="3"/>
        <v>0</v>
      </c>
      <c r="D21" s="85">
        <f t="shared" si="12"/>
        <v>224.27011933633625</v>
      </c>
      <c r="E21" s="100">
        <f t="shared" si="4"/>
        <v>116.22729409306636</v>
      </c>
      <c r="G21" s="101">
        <f t="shared" si="5"/>
        <v>655.76058285478439</v>
      </c>
      <c r="H21" s="85">
        <f t="shared" si="6"/>
        <v>0</v>
      </c>
      <c r="I21" s="85">
        <f t="shared" si="13"/>
        <v>655.76058285478439</v>
      </c>
      <c r="J21" s="100">
        <f t="shared" si="0"/>
        <v>339.84588916101279</v>
      </c>
      <c r="L21" s="101">
        <f t="shared" si="7"/>
        <v>0</v>
      </c>
      <c r="M21" s="85">
        <f t="shared" si="8"/>
        <v>0</v>
      </c>
      <c r="N21" s="85">
        <f t="shared" si="14"/>
        <v>0</v>
      </c>
      <c r="O21" s="100">
        <f t="shared" si="1"/>
        <v>0</v>
      </c>
      <c r="Q21" s="101">
        <f t="shared" si="9"/>
        <v>0</v>
      </c>
      <c r="R21" s="85">
        <f t="shared" si="10"/>
        <v>0</v>
      </c>
      <c r="S21" s="85">
        <f t="shared" si="15"/>
        <v>0</v>
      </c>
      <c r="T21" s="100">
        <f t="shared" si="2"/>
        <v>0</v>
      </c>
    </row>
    <row r="22" spans="1:21" x14ac:dyDescent="0.25">
      <c r="A22" s="13">
        <v>11</v>
      </c>
      <c r="B22" s="101">
        <f t="shared" si="11"/>
        <v>237.20955788609132</v>
      </c>
      <c r="C22" s="85">
        <f t="shared" si="3"/>
        <v>0</v>
      </c>
      <c r="D22" s="85">
        <f t="shared" si="12"/>
        <v>237.20955788609132</v>
      </c>
      <c r="E22" s="100">
        <f t="shared" si="4"/>
        <v>115.11252180890541</v>
      </c>
      <c r="G22" s="101">
        <f t="shared" si="5"/>
        <v>693.59519849734306</v>
      </c>
      <c r="H22" s="85">
        <f t="shared" si="6"/>
        <v>0</v>
      </c>
      <c r="I22" s="85">
        <f t="shared" si="13"/>
        <v>693.59519849734306</v>
      </c>
      <c r="J22" s="100">
        <f t="shared" si="0"/>
        <v>336.58632107867078</v>
      </c>
      <c r="L22" s="101">
        <f t="shared" si="7"/>
        <v>0</v>
      </c>
      <c r="M22" s="85">
        <f t="shared" si="8"/>
        <v>0</v>
      </c>
      <c r="N22" s="85">
        <f t="shared" si="14"/>
        <v>0</v>
      </c>
      <c r="O22" s="100">
        <f t="shared" si="1"/>
        <v>0</v>
      </c>
      <c r="Q22" s="101">
        <f t="shared" si="9"/>
        <v>0</v>
      </c>
      <c r="R22" s="85">
        <f t="shared" si="10"/>
        <v>0</v>
      </c>
      <c r="S22" s="85">
        <f t="shared" si="15"/>
        <v>0</v>
      </c>
      <c r="T22" s="100">
        <f t="shared" si="2"/>
        <v>0</v>
      </c>
    </row>
    <row r="23" spans="1:21" x14ac:dyDescent="0.25">
      <c r="A23" s="13">
        <v>12</v>
      </c>
      <c r="B23" s="101">
        <f t="shared" si="11"/>
        <v>250.89554738288444</v>
      </c>
      <c r="C23" s="85">
        <f t="shared" si="3"/>
        <v>0</v>
      </c>
      <c r="D23" s="85">
        <f t="shared" si="12"/>
        <v>250.89554738288444</v>
      </c>
      <c r="E23" s="100">
        <f t="shared" si="4"/>
        <v>114.00844165394894</v>
      </c>
      <c r="G23" s="101">
        <f t="shared" si="5"/>
        <v>733.61271164586094</v>
      </c>
      <c r="H23" s="85">
        <f t="shared" si="6"/>
        <v>0</v>
      </c>
      <c r="I23" s="85">
        <f t="shared" si="13"/>
        <v>733.61271164586094</v>
      </c>
      <c r="J23" s="100">
        <f t="shared" si="0"/>
        <v>333.3580165320144</v>
      </c>
      <c r="L23" s="101">
        <f t="shared" si="7"/>
        <v>0</v>
      </c>
      <c r="M23" s="85">
        <f t="shared" si="8"/>
        <v>0</v>
      </c>
      <c r="N23" s="85">
        <f t="shared" si="14"/>
        <v>0</v>
      </c>
      <c r="O23" s="100">
        <f t="shared" si="1"/>
        <v>0</v>
      </c>
      <c r="Q23" s="101">
        <f t="shared" si="9"/>
        <v>0</v>
      </c>
      <c r="R23" s="85">
        <f t="shared" si="10"/>
        <v>0</v>
      </c>
      <c r="S23" s="85">
        <f t="shared" si="15"/>
        <v>0</v>
      </c>
      <c r="T23" s="100">
        <f t="shared" si="2"/>
        <v>0</v>
      </c>
    </row>
    <row r="24" spans="1:21" x14ac:dyDescent="0.25">
      <c r="A24" s="13">
        <v>13</v>
      </c>
      <c r="B24" s="101">
        <f t="shared" si="11"/>
        <v>265.37116066286546</v>
      </c>
      <c r="C24" s="85">
        <f t="shared" si="3"/>
        <v>0</v>
      </c>
      <c r="D24" s="85">
        <f t="shared" si="12"/>
        <v>265.37116066286546</v>
      </c>
      <c r="E24" s="100">
        <f t="shared" si="4"/>
        <v>112.91495107664582</v>
      </c>
      <c r="G24" s="101">
        <f t="shared" si="5"/>
        <v>775.93906626568844</v>
      </c>
      <c r="H24" s="85">
        <f t="shared" si="6"/>
        <v>0</v>
      </c>
      <c r="I24" s="85">
        <f t="shared" si="13"/>
        <v>775.93906626568844</v>
      </c>
      <c r="J24" s="100">
        <f t="shared" si="0"/>
        <v>330.16067566270709</v>
      </c>
      <c r="L24" s="101">
        <f t="shared" si="7"/>
        <v>0</v>
      </c>
      <c r="M24" s="85">
        <f t="shared" si="8"/>
        <v>0</v>
      </c>
      <c r="N24" s="85">
        <f t="shared" si="14"/>
        <v>0</v>
      </c>
      <c r="O24" s="100">
        <f t="shared" si="1"/>
        <v>0</v>
      </c>
      <c r="Q24" s="101">
        <f t="shared" si="9"/>
        <v>0</v>
      </c>
      <c r="R24" s="85">
        <f t="shared" si="10"/>
        <v>0</v>
      </c>
      <c r="S24" s="85">
        <f t="shared" si="15"/>
        <v>0</v>
      </c>
      <c r="T24" s="100">
        <f t="shared" si="2"/>
        <v>0</v>
      </c>
    </row>
    <row r="25" spans="1:21" x14ac:dyDescent="0.25">
      <c r="A25" s="13">
        <v>14</v>
      </c>
      <c r="B25" s="101">
        <f t="shared" si="11"/>
        <v>280.6819556828865</v>
      </c>
      <c r="C25" s="85">
        <f t="shared" si="3"/>
        <v>0</v>
      </c>
      <c r="D25" s="85">
        <f t="shared" si="12"/>
        <v>280.6819556828865</v>
      </c>
      <c r="E25" s="100">
        <f t="shared" si="4"/>
        <v>111.83194850904883</v>
      </c>
      <c r="G25" s="101">
        <f t="shared" si="5"/>
        <v>820.70747275697818</v>
      </c>
      <c r="H25" s="85">
        <f t="shared" si="6"/>
        <v>0</v>
      </c>
      <c r="I25" s="85">
        <f t="shared" si="13"/>
        <v>820.70747275697818</v>
      </c>
      <c r="J25" s="100">
        <f t="shared" si="0"/>
        <v>326.99400148844688</v>
      </c>
      <c r="L25" s="101">
        <f t="shared" si="7"/>
        <v>0</v>
      </c>
      <c r="M25" s="85">
        <f t="shared" si="8"/>
        <v>0</v>
      </c>
      <c r="N25" s="85">
        <f t="shared" si="14"/>
        <v>0</v>
      </c>
      <c r="O25" s="100">
        <f t="shared" si="1"/>
        <v>0</v>
      </c>
      <c r="Q25" s="101">
        <f t="shared" si="9"/>
        <v>0</v>
      </c>
      <c r="R25" s="85">
        <f t="shared" si="10"/>
        <v>0</v>
      </c>
      <c r="S25" s="85">
        <f t="shared" si="15"/>
        <v>0</v>
      </c>
      <c r="T25" s="100">
        <f t="shared" si="2"/>
        <v>0</v>
      </c>
    </row>
    <row r="26" spans="1:21" x14ac:dyDescent="0.25">
      <c r="A26" s="91">
        <v>15</v>
      </c>
      <c r="B26" s="102">
        <f t="shared" si="11"/>
        <v>296.87611890146979</v>
      </c>
      <c r="C26" s="85">
        <f>maintain_pct_solar/100*solar_cost*(1+Equip_inflat/100)^((QUOTIENT($A26,solar_life_span_ent)-(MOD($A26,solar_life_span_ent)=0))*solar_life_span_ent)/solar_life_span_ent+(solar_cost)*(1+Equip_inflat/100)^$A26*(MOD($A26,solar_life_span_ent)=0)*($A26&lt;&gt;30)</f>
        <v>0</v>
      </c>
      <c r="D26" s="85">
        <f t="shared" si="12"/>
        <v>296.87611890146979</v>
      </c>
      <c r="E26" s="102">
        <f t="shared" si="4"/>
        <v>110.75933335738077</v>
      </c>
      <c r="F26" s="103"/>
      <c r="G26" s="101">
        <f t="shared" si="5"/>
        <v>868.05882719728004</v>
      </c>
      <c r="H26" s="85">
        <f t="shared" si="6"/>
        <v>5347.6560604116667</v>
      </c>
      <c r="I26" s="85">
        <f t="shared" si="13"/>
        <v>6215.7148876089468</v>
      </c>
      <c r="J26" s="102">
        <f t="shared" si="0"/>
        <v>2318.9754697635444</v>
      </c>
      <c r="K26" s="99"/>
      <c r="L26" s="101">
        <f t="shared" si="7"/>
        <v>0</v>
      </c>
      <c r="M26" s="85">
        <f t="shared" si="8"/>
        <v>0</v>
      </c>
      <c r="N26" s="85">
        <f t="shared" si="14"/>
        <v>0</v>
      </c>
      <c r="O26" s="102">
        <f t="shared" si="1"/>
        <v>0</v>
      </c>
      <c r="P26" s="99"/>
      <c r="Q26" s="101">
        <f t="shared" si="9"/>
        <v>0</v>
      </c>
      <c r="R26" s="85">
        <f t="shared" si="10"/>
        <v>0</v>
      </c>
      <c r="S26" s="85">
        <f t="shared" si="15"/>
        <v>0</v>
      </c>
      <c r="T26" s="102">
        <f t="shared" si="2"/>
        <v>0</v>
      </c>
      <c r="U26" s="90"/>
    </row>
    <row r="27" spans="1:21" x14ac:dyDescent="0.25">
      <c r="A27" s="13">
        <v>16</v>
      </c>
      <c r="B27" s="101">
        <f t="shared" si="11"/>
        <v>314.00461693225031</v>
      </c>
      <c r="C27" s="85">
        <f t="shared" si="3"/>
        <v>0</v>
      </c>
      <c r="D27" s="85">
        <f>B27+C27</f>
        <v>314.00461693225031</v>
      </c>
      <c r="E27" s="100">
        <f t="shared" si="4"/>
        <v>109.69700599269061</v>
      </c>
      <c r="G27" s="101">
        <f t="shared" si="5"/>
        <v>918.14215477266168</v>
      </c>
      <c r="H27" s="85">
        <f t="shared" si="6"/>
        <v>0</v>
      </c>
      <c r="I27" s="85">
        <f t="shared" si="13"/>
        <v>918.14215477266168</v>
      </c>
      <c r="J27" s="100">
        <f t="shared" si="0"/>
        <v>320.75147951079123</v>
      </c>
      <c r="L27" s="101">
        <f t="shared" si="7"/>
        <v>0</v>
      </c>
      <c r="M27" s="85">
        <f t="shared" si="8"/>
        <v>0</v>
      </c>
      <c r="N27" s="85">
        <f t="shared" si="14"/>
        <v>0</v>
      </c>
      <c r="O27" s="100">
        <f t="shared" si="1"/>
        <v>0</v>
      </c>
      <c r="Q27" s="101">
        <f t="shared" si="9"/>
        <v>0</v>
      </c>
      <c r="R27" s="85">
        <f t="shared" si="10"/>
        <v>0</v>
      </c>
      <c r="S27" s="85">
        <f t="shared" si="15"/>
        <v>0</v>
      </c>
      <c r="T27" s="100">
        <f t="shared" si="2"/>
        <v>0</v>
      </c>
    </row>
    <row r="28" spans="1:21" x14ac:dyDescent="0.25">
      <c r="A28" s="13">
        <v>17</v>
      </c>
      <c r="B28" s="101">
        <f t="shared" si="11"/>
        <v>332.12135694718245</v>
      </c>
      <c r="C28" s="85">
        <f t="shared" si="3"/>
        <v>0</v>
      </c>
      <c r="D28" s="85">
        <f t="shared" ref="D28:D41" si="16">B28+C28</f>
        <v>332.12135694718245</v>
      </c>
      <c r="E28" s="100">
        <f t="shared" si="4"/>
        <v>108.6448677415998</v>
      </c>
      <c r="G28" s="101">
        <f t="shared" si="5"/>
        <v>971.11507879293117</v>
      </c>
      <c r="H28" s="85">
        <f t="shared" si="6"/>
        <v>0</v>
      </c>
      <c r="I28" s="85">
        <f t="shared" si="13"/>
        <v>971.11507879293117</v>
      </c>
      <c r="J28" s="100">
        <f t="shared" si="0"/>
        <v>317.67505187602279</v>
      </c>
      <c r="L28" s="101">
        <f t="shared" si="7"/>
        <v>0</v>
      </c>
      <c r="M28" s="85">
        <f t="shared" si="8"/>
        <v>0</v>
      </c>
      <c r="N28" s="85">
        <f t="shared" si="14"/>
        <v>0</v>
      </c>
      <c r="O28" s="100">
        <f t="shared" si="1"/>
        <v>0</v>
      </c>
      <c r="Q28" s="101">
        <f t="shared" si="9"/>
        <v>0</v>
      </c>
      <c r="R28" s="85">
        <f t="shared" si="10"/>
        <v>0</v>
      </c>
      <c r="S28" s="85">
        <f t="shared" si="15"/>
        <v>0</v>
      </c>
      <c r="T28" s="100">
        <f t="shared" si="2"/>
        <v>0</v>
      </c>
    </row>
    <row r="29" spans="1:21" x14ac:dyDescent="0.25">
      <c r="A29" s="13">
        <v>18</v>
      </c>
      <c r="B29" s="101">
        <f t="shared" si="11"/>
        <v>351.2833563343342</v>
      </c>
      <c r="C29" s="85">
        <f t="shared" si="3"/>
        <v>0</v>
      </c>
      <c r="D29" s="85">
        <f t="shared" si="16"/>
        <v>351.2833563343342</v>
      </c>
      <c r="E29" s="100">
        <f t="shared" si="4"/>
        <v>107.60282087713705</v>
      </c>
      <c r="G29" s="101">
        <f t="shared" si="5"/>
        <v>1027.1443167670591</v>
      </c>
      <c r="H29" s="85">
        <f t="shared" si="6"/>
        <v>0</v>
      </c>
      <c r="I29" s="85">
        <f t="shared" si="13"/>
        <v>1027.1443167670591</v>
      </c>
      <c r="J29" s="100">
        <f t="shared" si="0"/>
        <v>314.62813121969896</v>
      </c>
      <c r="L29" s="101">
        <f t="shared" si="7"/>
        <v>0</v>
      </c>
      <c r="M29" s="85">
        <f t="shared" si="8"/>
        <v>0</v>
      </c>
      <c r="N29" s="85">
        <f t="shared" si="14"/>
        <v>0</v>
      </c>
      <c r="O29" s="100">
        <f t="shared" si="1"/>
        <v>0</v>
      </c>
      <c r="Q29" s="101">
        <f t="shared" si="9"/>
        <v>0</v>
      </c>
      <c r="R29" s="85">
        <f t="shared" si="10"/>
        <v>0</v>
      </c>
      <c r="S29" s="85">
        <f t="shared" si="15"/>
        <v>0</v>
      </c>
      <c r="T29" s="100">
        <f t="shared" si="2"/>
        <v>0</v>
      </c>
    </row>
    <row r="30" spans="1:21" x14ac:dyDescent="0.25">
      <c r="A30" s="13">
        <v>19</v>
      </c>
      <c r="B30" s="101">
        <f t="shared" si="11"/>
        <v>371.55092214421859</v>
      </c>
      <c r="C30" s="85">
        <f t="shared" si="3"/>
        <v>0</v>
      </c>
      <c r="D30" s="85">
        <f t="shared" si="16"/>
        <v>371.55092214421859</v>
      </c>
      <c r="E30" s="100">
        <f t="shared" si="4"/>
        <v>106.57076860966086</v>
      </c>
      <c r="G30" s="101">
        <f t="shared" si="5"/>
        <v>1086.4062051000544</v>
      </c>
      <c r="H30" s="85">
        <f t="shared" si="6"/>
        <v>0</v>
      </c>
      <c r="I30" s="85">
        <f t="shared" si="13"/>
        <v>1086.4062051000544</v>
      </c>
      <c r="J30" s="100">
        <f t="shared" si="0"/>
        <v>311.61043453117213</v>
      </c>
      <c r="L30" s="101">
        <f t="shared" si="7"/>
        <v>0</v>
      </c>
      <c r="M30" s="85">
        <f t="shared" si="8"/>
        <v>0</v>
      </c>
      <c r="N30" s="85">
        <f t="shared" si="14"/>
        <v>0</v>
      </c>
      <c r="O30" s="100">
        <f t="shared" si="1"/>
        <v>0</v>
      </c>
      <c r="Q30" s="101">
        <f t="shared" si="9"/>
        <v>0</v>
      </c>
      <c r="R30" s="85">
        <f t="shared" si="10"/>
        <v>0</v>
      </c>
      <c r="S30" s="85">
        <f t="shared" si="15"/>
        <v>0</v>
      </c>
      <c r="T30" s="100">
        <f t="shared" si="2"/>
        <v>0</v>
      </c>
    </row>
    <row r="31" spans="1:21" x14ac:dyDescent="0.25">
      <c r="A31" s="13">
        <v>20</v>
      </c>
      <c r="B31" s="101">
        <f t="shared" si="11"/>
        <v>392.98784088942131</v>
      </c>
      <c r="C31" s="85">
        <f t="shared" si="3"/>
        <v>0</v>
      </c>
      <c r="D31" s="85">
        <f t="shared" si="16"/>
        <v>392.98784088942131</v>
      </c>
      <c r="E31" s="100">
        <f t="shared" si="4"/>
        <v>105.5486150778695</v>
      </c>
      <c r="G31" s="101">
        <f t="shared" si="5"/>
        <v>1149.0872540626353</v>
      </c>
      <c r="H31" s="85">
        <f t="shared" si="6"/>
        <v>0</v>
      </c>
      <c r="I31" s="85">
        <f t="shared" si="13"/>
        <v>1149.0872540626353</v>
      </c>
      <c r="J31" s="100">
        <f t="shared" si="0"/>
        <v>308.62168151423828</v>
      </c>
      <c r="L31" s="101">
        <f t="shared" si="7"/>
        <v>0</v>
      </c>
      <c r="M31" s="85">
        <f t="shared" si="8"/>
        <v>0</v>
      </c>
      <c r="N31" s="85">
        <f t="shared" si="14"/>
        <v>0</v>
      </c>
      <c r="O31" s="100">
        <f t="shared" si="1"/>
        <v>0</v>
      </c>
      <c r="Q31" s="101">
        <f t="shared" si="9"/>
        <v>0</v>
      </c>
      <c r="R31" s="85">
        <f t="shared" si="10"/>
        <v>0</v>
      </c>
      <c r="S31" s="85">
        <f t="shared" si="15"/>
        <v>0</v>
      </c>
      <c r="T31" s="100">
        <f t="shared" si="2"/>
        <v>0</v>
      </c>
    </row>
    <row r="32" spans="1:21" x14ac:dyDescent="0.25">
      <c r="A32" s="13">
        <v>21</v>
      </c>
      <c r="B32" s="101">
        <f t="shared" si="11"/>
        <v>415.66157929486428</v>
      </c>
      <c r="C32" s="85">
        <f t="shared" si="3"/>
        <v>0</v>
      </c>
      <c r="D32" s="85">
        <f t="shared" si="16"/>
        <v>415.66157929486428</v>
      </c>
      <c r="E32" s="100">
        <f t="shared" si="4"/>
        <v>104.53626533989684</v>
      </c>
      <c r="G32" s="101">
        <f t="shared" si="5"/>
        <v>1215.3847347803048</v>
      </c>
      <c r="H32" s="85">
        <f t="shared" si="6"/>
        <v>0</v>
      </c>
      <c r="I32" s="85">
        <f t="shared" si="13"/>
        <v>1215.3847347803048</v>
      </c>
      <c r="J32" s="100">
        <f t="shared" si="0"/>
        <v>305.66159456110182</v>
      </c>
      <c r="L32" s="101">
        <f t="shared" si="7"/>
        <v>0</v>
      </c>
      <c r="M32" s="85">
        <f t="shared" si="8"/>
        <v>0</v>
      </c>
      <c r="N32" s="85">
        <f t="shared" si="14"/>
        <v>0</v>
      </c>
      <c r="O32" s="100">
        <f t="shared" si="1"/>
        <v>0</v>
      </c>
      <c r="Q32" s="101">
        <f t="shared" si="9"/>
        <v>0</v>
      </c>
      <c r="R32" s="85">
        <f t="shared" si="10"/>
        <v>0</v>
      </c>
      <c r="S32" s="85">
        <f t="shared" si="15"/>
        <v>0</v>
      </c>
      <c r="T32" s="100">
        <f t="shared" si="2"/>
        <v>0</v>
      </c>
    </row>
    <row r="33" spans="1:20" x14ac:dyDescent="0.25">
      <c r="A33" s="13">
        <v>22</v>
      </c>
      <c r="B33" s="101">
        <f t="shared" si="11"/>
        <v>439.6434966305128</v>
      </c>
      <c r="C33" s="85">
        <f t="shared" si="3"/>
        <v>0</v>
      </c>
      <c r="D33" s="85">
        <f t="shared" si="16"/>
        <v>439.6434966305128</v>
      </c>
      <c r="E33" s="100">
        <f t="shared" si="4"/>
        <v>103.53362536449399</v>
      </c>
      <c r="G33" s="101">
        <f t="shared" si="5"/>
        <v>1285.5073000892187</v>
      </c>
      <c r="H33" s="85">
        <f t="shared" si="6"/>
        <v>0</v>
      </c>
      <c r="I33" s="85">
        <f t="shared" si="13"/>
        <v>1285.5073000892187</v>
      </c>
      <c r="J33" s="100">
        <f t="shared" si="0"/>
        <v>302.72989872659059</v>
      </c>
      <c r="L33" s="101">
        <f t="shared" si="7"/>
        <v>0</v>
      </c>
      <c r="M33" s="85">
        <f t="shared" si="8"/>
        <v>0</v>
      </c>
      <c r="N33" s="85">
        <f t="shared" si="14"/>
        <v>0</v>
      </c>
      <c r="O33" s="100">
        <f t="shared" si="1"/>
        <v>0</v>
      </c>
      <c r="Q33" s="101">
        <f t="shared" si="9"/>
        <v>0</v>
      </c>
      <c r="R33" s="85">
        <f t="shared" si="10"/>
        <v>0</v>
      </c>
      <c r="S33" s="85">
        <f t="shared" si="15"/>
        <v>0</v>
      </c>
      <c r="T33" s="100">
        <f t="shared" si="2"/>
        <v>0</v>
      </c>
    </row>
    <row r="34" spans="1:20" x14ac:dyDescent="0.25">
      <c r="A34" s="13">
        <v>23</v>
      </c>
      <c r="B34" s="101">
        <f t="shared" si="11"/>
        <v>465.00906929478094</v>
      </c>
      <c r="C34" s="85">
        <f t="shared" si="3"/>
        <v>0</v>
      </c>
      <c r="D34" s="85">
        <f t="shared" si="16"/>
        <v>465.00906929478094</v>
      </c>
      <c r="E34" s="100">
        <f t="shared" si="4"/>
        <v>102.54060202229495</v>
      </c>
      <c r="G34" s="101">
        <f t="shared" si="5"/>
        <v>1359.67564121281</v>
      </c>
      <c r="H34" s="85">
        <f t="shared" si="6"/>
        <v>0</v>
      </c>
      <c r="I34" s="85">
        <f t="shared" si="13"/>
        <v>1359.67564121281</v>
      </c>
      <c r="J34" s="100">
        <f t="shared" si="0"/>
        <v>299.82632170261684</v>
      </c>
      <c r="L34" s="101">
        <f t="shared" si="7"/>
        <v>0</v>
      </c>
      <c r="M34" s="85">
        <f t="shared" si="8"/>
        <v>0</v>
      </c>
      <c r="N34" s="85">
        <f t="shared" si="14"/>
        <v>0</v>
      </c>
      <c r="O34" s="100">
        <f t="shared" si="1"/>
        <v>0</v>
      </c>
      <c r="Q34" s="101">
        <f t="shared" si="9"/>
        <v>0</v>
      </c>
      <c r="R34" s="85">
        <f t="shared" si="10"/>
        <v>0</v>
      </c>
      <c r="S34" s="85">
        <f t="shared" si="15"/>
        <v>0</v>
      </c>
      <c r="T34" s="100">
        <f t="shared" si="2"/>
        <v>0</v>
      </c>
    </row>
    <row r="35" spans="1:20" x14ac:dyDescent="0.25">
      <c r="A35" s="13">
        <v>24</v>
      </c>
      <c r="B35" s="101">
        <f t="shared" si="11"/>
        <v>491.83812835545342</v>
      </c>
      <c r="C35" s="85">
        <f t="shared" si="3"/>
        <v>0</v>
      </c>
      <c r="D35" s="85">
        <f t="shared" si="16"/>
        <v>491.83812835545342</v>
      </c>
      <c r="E35" s="100">
        <f t="shared" si="4"/>
        <v>101.55710307716676</v>
      </c>
      <c r="G35" s="101">
        <f t="shared" si="5"/>
        <v>1438.1231823258872</v>
      </c>
      <c r="H35" s="85">
        <f t="shared" si="6"/>
        <v>0</v>
      </c>
      <c r="I35" s="85">
        <f t="shared" si="13"/>
        <v>1438.1231823258872</v>
      </c>
      <c r="J35" s="100">
        <f t="shared" si="0"/>
        <v>296.95059379288529</v>
      </c>
      <c r="L35" s="101">
        <f t="shared" si="7"/>
        <v>0</v>
      </c>
      <c r="M35" s="85">
        <f t="shared" si="8"/>
        <v>0</v>
      </c>
      <c r="N35" s="85">
        <f t="shared" si="14"/>
        <v>0</v>
      </c>
      <c r="O35" s="100">
        <f t="shared" si="1"/>
        <v>0</v>
      </c>
      <c r="Q35" s="101">
        <f t="shared" si="9"/>
        <v>0</v>
      </c>
      <c r="R35" s="85">
        <f t="shared" si="10"/>
        <v>0</v>
      </c>
      <c r="S35" s="85">
        <f t="shared" si="15"/>
        <v>0</v>
      </c>
      <c r="T35" s="100">
        <f t="shared" si="2"/>
        <v>0</v>
      </c>
    </row>
    <row r="36" spans="1:20" x14ac:dyDescent="0.25">
      <c r="A36" s="13">
        <v>25</v>
      </c>
      <c r="B36" s="101">
        <f t="shared" si="11"/>
        <v>520.21511079571201</v>
      </c>
      <c r="C36" s="85">
        <f t="shared" si="3"/>
        <v>0</v>
      </c>
      <c r="D36" s="85">
        <f t="shared" si="16"/>
        <v>520.21511079571201</v>
      </c>
      <c r="E36" s="100">
        <f t="shared" si="4"/>
        <v>100.58303717764188</v>
      </c>
      <c r="G36" s="101">
        <f t="shared" si="5"/>
        <v>1521.0968151921404</v>
      </c>
      <c r="H36" s="85">
        <f t="shared" si="6"/>
        <v>0</v>
      </c>
      <c r="I36" s="85">
        <f t="shared" si="13"/>
        <v>1521.0968151921404</v>
      </c>
      <c r="J36" s="100">
        <f t="shared" si="0"/>
        <v>294.10244788784178</v>
      </c>
      <c r="L36" s="101">
        <f t="shared" si="7"/>
        <v>0</v>
      </c>
      <c r="M36" s="85">
        <f t="shared" si="8"/>
        <v>0</v>
      </c>
      <c r="N36" s="85">
        <f t="shared" si="14"/>
        <v>0</v>
      </c>
      <c r="O36" s="100">
        <f t="shared" si="1"/>
        <v>0</v>
      </c>
      <c r="Q36" s="101">
        <f t="shared" si="9"/>
        <v>0</v>
      </c>
      <c r="R36" s="85">
        <f t="shared" si="10"/>
        <v>0</v>
      </c>
      <c r="S36" s="85">
        <f t="shared" si="15"/>
        <v>0</v>
      </c>
      <c r="T36" s="100">
        <f t="shared" si="2"/>
        <v>0</v>
      </c>
    </row>
    <row r="37" spans="1:20" x14ac:dyDescent="0.25">
      <c r="A37" s="13">
        <v>26</v>
      </c>
      <c r="B37" s="101">
        <f t="shared" si="11"/>
        <v>550.22932525599981</v>
      </c>
      <c r="C37" s="85">
        <f t="shared" si="3"/>
        <v>0</v>
      </c>
      <c r="D37" s="85">
        <f t="shared" si="16"/>
        <v>550.22932525599981</v>
      </c>
      <c r="E37" s="100">
        <f t="shared" si="4"/>
        <v>99.618313848433289</v>
      </c>
      <c r="G37" s="101">
        <f t="shared" si="5"/>
        <v>1608.8576761871341</v>
      </c>
      <c r="H37" s="85">
        <f t="shared" si="6"/>
        <v>0</v>
      </c>
      <c r="I37" s="85">
        <f t="shared" si="13"/>
        <v>1608.8576761871341</v>
      </c>
      <c r="J37" s="100">
        <f t="shared" si="0"/>
        <v>291.28161943986345</v>
      </c>
      <c r="L37" s="101">
        <f t="shared" si="7"/>
        <v>0</v>
      </c>
      <c r="M37" s="85">
        <f t="shared" si="8"/>
        <v>0</v>
      </c>
      <c r="N37" s="85">
        <f t="shared" si="14"/>
        <v>0</v>
      </c>
      <c r="O37" s="100">
        <f t="shared" si="1"/>
        <v>0</v>
      </c>
      <c r="Q37" s="101">
        <f t="shared" si="9"/>
        <v>0</v>
      </c>
      <c r="R37" s="85">
        <f t="shared" si="10"/>
        <v>0</v>
      </c>
      <c r="S37" s="85">
        <f t="shared" si="15"/>
        <v>0</v>
      </c>
      <c r="T37" s="100">
        <f t="shared" si="2"/>
        <v>0</v>
      </c>
    </row>
    <row r="38" spans="1:20" x14ac:dyDescent="0.25">
      <c r="A38" s="13">
        <v>27</v>
      </c>
      <c r="B38" s="101">
        <f t="shared" si="11"/>
        <v>581.97523310806594</v>
      </c>
      <c r="C38" s="85">
        <f t="shared" si="3"/>
        <v>0</v>
      </c>
      <c r="D38" s="85">
        <f t="shared" si="16"/>
        <v>581.97523310806594</v>
      </c>
      <c r="E38" s="100">
        <f t="shared" si="4"/>
        <v>98.662843482030723</v>
      </c>
      <c r="G38" s="101">
        <f t="shared" si="5"/>
        <v>1701.6819681522395</v>
      </c>
      <c r="H38" s="85">
        <f t="shared" si="6"/>
        <v>0</v>
      </c>
      <c r="I38" s="85">
        <f t="shared" si="13"/>
        <v>1701.6819681522395</v>
      </c>
      <c r="J38" s="100">
        <f t="shared" si="0"/>
        <v>288.48784643868629</v>
      </c>
      <c r="L38" s="101">
        <f t="shared" si="7"/>
        <v>0</v>
      </c>
      <c r="M38" s="85">
        <f t="shared" si="8"/>
        <v>0</v>
      </c>
      <c r="N38" s="85">
        <f t="shared" si="14"/>
        <v>0</v>
      </c>
      <c r="O38" s="100">
        <f t="shared" si="1"/>
        <v>0</v>
      </c>
      <c r="Q38" s="101">
        <f t="shared" si="9"/>
        <v>0</v>
      </c>
      <c r="R38" s="85">
        <f t="shared" si="10"/>
        <v>0</v>
      </c>
      <c r="S38" s="85">
        <f t="shared" si="15"/>
        <v>0</v>
      </c>
      <c r="T38" s="100">
        <f t="shared" si="2"/>
        <v>0</v>
      </c>
    </row>
    <row r="39" spans="1:20" x14ac:dyDescent="0.25">
      <c r="A39" s="13">
        <v>28</v>
      </c>
      <c r="B39" s="101">
        <f t="shared" si="11"/>
        <v>615.55274574579653</v>
      </c>
      <c r="C39" s="85">
        <f t="shared" si="3"/>
        <v>0</v>
      </c>
      <c r="D39" s="85">
        <f t="shared" si="16"/>
        <v>615.55274574579653</v>
      </c>
      <c r="E39" s="100">
        <f t="shared" si="4"/>
        <v>97.716537330377463</v>
      </c>
      <c r="G39" s="101">
        <f t="shared" si="5"/>
        <v>1799.8618296660718</v>
      </c>
      <c r="H39" s="85">
        <f t="shared" si="6"/>
        <v>0</v>
      </c>
      <c r="I39" s="85">
        <f t="shared" si="13"/>
        <v>1799.8618296660718</v>
      </c>
      <c r="J39" s="100">
        <f t="shared" si="0"/>
        <v>285.72086938706866</v>
      </c>
      <c r="L39" s="101">
        <f t="shared" si="7"/>
        <v>0</v>
      </c>
      <c r="M39" s="85">
        <f t="shared" si="8"/>
        <v>0</v>
      </c>
      <c r="N39" s="85">
        <f t="shared" si="14"/>
        <v>0</v>
      </c>
      <c r="O39" s="100">
        <f t="shared" si="1"/>
        <v>0</v>
      </c>
      <c r="Q39" s="101">
        <f t="shared" si="9"/>
        <v>0</v>
      </c>
      <c r="R39" s="85">
        <f t="shared" si="10"/>
        <v>0</v>
      </c>
      <c r="S39" s="85">
        <f t="shared" si="15"/>
        <v>0</v>
      </c>
      <c r="T39" s="100">
        <f t="shared" si="2"/>
        <v>0</v>
      </c>
    </row>
    <row r="40" spans="1:20" x14ac:dyDescent="0.25">
      <c r="A40" s="13">
        <v>29</v>
      </c>
      <c r="B40" s="101">
        <f t="shared" si="11"/>
        <v>651.06753902847106</v>
      </c>
      <c r="C40" s="85">
        <f t="shared" si="3"/>
        <v>0</v>
      </c>
      <c r="D40" s="85">
        <f t="shared" si="16"/>
        <v>651.06753902847106</v>
      </c>
      <c r="E40" s="100">
        <f t="shared" si="4"/>
        <v>96.779307496627212</v>
      </c>
      <c r="G40" s="101">
        <f t="shared" si="5"/>
        <v>1903.7062544692135</v>
      </c>
      <c r="H40" s="85">
        <f t="shared" si="6"/>
        <v>0</v>
      </c>
      <c r="I40" s="85">
        <f t="shared" si="13"/>
        <v>1903.7062544692135</v>
      </c>
      <c r="J40" s="100">
        <f t="shared" si="0"/>
        <v>282.98043127668774</v>
      </c>
      <c r="L40" s="101">
        <f t="shared" si="7"/>
        <v>0</v>
      </c>
      <c r="M40" s="85">
        <f t="shared" si="8"/>
        <v>0</v>
      </c>
      <c r="N40" s="85">
        <f t="shared" si="14"/>
        <v>0</v>
      </c>
      <c r="O40" s="100">
        <f t="shared" si="1"/>
        <v>0</v>
      </c>
      <c r="Q40" s="101">
        <f t="shared" si="9"/>
        <v>0</v>
      </c>
      <c r="R40" s="85">
        <f t="shared" si="10"/>
        <v>0</v>
      </c>
      <c r="S40" s="85">
        <f t="shared" si="15"/>
        <v>0</v>
      </c>
      <c r="T40" s="100">
        <f t="shared" si="2"/>
        <v>0</v>
      </c>
    </row>
    <row r="41" spans="1:20" x14ac:dyDescent="0.25">
      <c r="A41" s="13">
        <v>30</v>
      </c>
      <c r="B41" s="101">
        <f t="shared" si="11"/>
        <v>688.63138586606533</v>
      </c>
      <c r="C41" s="85">
        <f t="shared" si="3"/>
        <v>0</v>
      </c>
      <c r="D41" s="85">
        <f t="shared" si="16"/>
        <v>688.63138586606533</v>
      </c>
      <c r="E41" s="100">
        <f t="shared" si="4"/>
        <v>95.851066926979712</v>
      </c>
      <c r="G41" s="101">
        <f t="shared" si="5"/>
        <v>2013.5420639358638</v>
      </c>
      <c r="H41" s="85">
        <f t="shared" si="6"/>
        <v>0</v>
      </c>
      <c r="I41" s="85">
        <f t="shared" si="13"/>
        <v>2013.5420639358638</v>
      </c>
      <c r="J41" s="100">
        <f t="shared" si="0"/>
        <v>280.26627756426819</v>
      </c>
      <c r="L41" s="101">
        <f t="shared" si="7"/>
        <v>0</v>
      </c>
      <c r="M41" s="85">
        <f t="shared" si="8"/>
        <v>0</v>
      </c>
      <c r="N41" s="85">
        <f t="shared" si="14"/>
        <v>0</v>
      </c>
      <c r="O41" s="100">
        <f t="shared" si="1"/>
        <v>0</v>
      </c>
      <c r="Q41" s="101">
        <f t="shared" si="9"/>
        <v>0</v>
      </c>
      <c r="R41" s="85">
        <f t="shared" si="10"/>
        <v>0</v>
      </c>
      <c r="S41" s="85">
        <f t="shared" si="15"/>
        <v>0</v>
      </c>
      <c r="T41" s="100">
        <f t="shared" si="2"/>
        <v>0</v>
      </c>
    </row>
    <row r="42" spans="1:20" ht="13.5" thickBot="1" x14ac:dyDescent="0.3">
      <c r="A42" s="104" t="s">
        <v>69</v>
      </c>
      <c r="B42" s="105"/>
      <c r="C42" s="106">
        <f>-(solar_cost-solar_rebate*0)*(1+Equip_inflat/100)^((QUOTIENT(30,solar_life_span_ent)-(MOD(30, solar_life_span_ent)=0))*solar_life_span_ent)/solar_life_span_ent*(IF(MOD(30,solar_life_span_ent)=0, 0, solar_life_span_ent-MOD(30, solar_life_span_ent)-1))</f>
        <v>0</v>
      </c>
      <c r="D42" s="106">
        <f>C42</f>
        <v>0</v>
      </c>
      <c r="E42" s="107">
        <f>D42/(1+discount_rate/100)^30</f>
        <v>0</v>
      </c>
      <c r="F42" s="106"/>
      <c r="G42" s="105"/>
      <c r="H42" s="106">
        <f>IF(tech_ent=3, -(tech_Costs-tech_rebate*0)*(1+Equip_inflat/100)^((QUOTIENT(30,tech_life_span_ent)-(MOD(30, tech_life_span_ent)=0))*tech_life_span_ent)/tech_life_span_ent*(IF(MOD(30,tech_life_span_ent)=0,0, tech_life_span_ent-MOD(30, tech_life_span_ent)-1)), 0)</f>
        <v>0</v>
      </c>
      <c r="I42" s="106">
        <f>H42</f>
        <v>0</v>
      </c>
      <c r="J42" s="107">
        <f>I42/(1+discount_rate/100)^30</f>
        <v>0</v>
      </c>
      <c r="K42" s="106"/>
      <c r="L42" s="105"/>
      <c r="M42" s="106">
        <f>IF(tech_ent=2, -(tech_Costs-tech_rebate*0)*(1+Equip_inflat/100)^((QUOTIENT(30,tech_life_span_ent)-(MOD(30, tech_life_span_ent)=0))*tech_life_span_ent)/tech_life_span_ent*(IF(MOD(30,tech_life_span_ent)=0,0, tech_life_span_ent-MOD(30, tech_life_span_ent)-1)), 0)</f>
        <v>0</v>
      </c>
      <c r="N42" s="106">
        <f>M42</f>
        <v>0</v>
      </c>
      <c r="O42" s="107">
        <f>N42/(1+discount_rate/100)^30</f>
        <v>0</v>
      </c>
      <c r="P42" s="106"/>
      <c r="Q42" s="105"/>
      <c r="R42" s="106">
        <f>IF(tech_ent=1, -(tech_Costs-tech_rebate*0)*(1+Equip_inflat/100)^((QUOTIENT(30,tech_life_span_ent)-(MOD(30, tech_life_span_ent)=0))*tech_life_span_ent)/tech_life_span_ent*(IF(MOD(30,tech_life_span_ent)=0,0, tech_life_span_ent-MOD(30, tech_life_span_ent)-1)), 0)</f>
        <v>0</v>
      </c>
      <c r="S42" s="106">
        <f>R42</f>
        <v>0</v>
      </c>
      <c r="T42" s="107">
        <f>S42/(1+discount_rate/100)^30</f>
        <v>0</v>
      </c>
    </row>
    <row r="43" spans="1:20" ht="15.75" thickTop="1" x14ac:dyDescent="0.25">
      <c r="A43" s="108" t="s">
        <v>44</v>
      </c>
      <c r="B43" s="109">
        <f>SUM(B11:B41)</f>
        <v>10277.907832363609</v>
      </c>
      <c r="C43" s="110">
        <f>SUM(C11:C42)</f>
        <v>0</v>
      </c>
      <c r="D43" s="110">
        <f>SUM(D11:D42)</f>
        <v>10277.907832363609</v>
      </c>
      <c r="E43" s="111">
        <f>SUM(E11:E42)</f>
        <v>3318.32392964771</v>
      </c>
      <c r="F43" s="92" t="str">
        <f>Notes!A21</f>
        <v>Note 11</v>
      </c>
      <c r="G43" s="109">
        <f>SUM(G11:G41)</f>
        <v>30052.362082934538</v>
      </c>
      <c r="H43" s="110">
        <f>SUM(H11:H42)</f>
        <v>8647.6560604116676</v>
      </c>
      <c r="I43" s="110">
        <f>SUM(I11:I42)</f>
        <v>38700.018143346213</v>
      </c>
      <c r="J43" s="111">
        <f>SUM(J11:J42)</f>
        <v>14997.819318565676</v>
      </c>
      <c r="L43" s="109">
        <f>SUM(L11:L41)</f>
        <v>0</v>
      </c>
      <c r="M43" s="110">
        <f>SUM(M11:M42)</f>
        <v>0</v>
      </c>
      <c r="N43" s="110">
        <f>SUM(N11:N42)</f>
        <v>0</v>
      </c>
      <c r="O43" s="111">
        <f>SUM(O11:O42)</f>
        <v>0</v>
      </c>
      <c r="Q43" s="109">
        <f>SUM(Q11:Q41)</f>
        <v>0</v>
      </c>
      <c r="R43" s="110">
        <f>SUM(R11:R42)</f>
        <v>0</v>
      </c>
      <c r="S43" s="110">
        <f>SUM(S11:S42)</f>
        <v>0</v>
      </c>
      <c r="T43" s="111">
        <f>SUM(T11:T42)</f>
        <v>0</v>
      </c>
    </row>
    <row r="45" spans="1:20" x14ac:dyDescent="0.25">
      <c r="C45" s="112"/>
      <c r="H45" s="112"/>
      <c r="M45" s="112"/>
      <c r="R45" s="112"/>
    </row>
    <row r="47" spans="1:20" x14ac:dyDescent="0.25">
      <c r="A47" s="49"/>
    </row>
    <row r="49" spans="1:8" x14ac:dyDescent="0.25">
      <c r="H49" s="113"/>
    </row>
    <row r="50" spans="1:8" ht="15" x14ac:dyDescent="0.25">
      <c r="A50" s="114"/>
    </row>
    <row r="55" spans="1:8" x14ac:dyDescent="0.25">
      <c r="A55" s="12"/>
    </row>
    <row r="56" spans="1:8" x14ac:dyDescent="0.25">
      <c r="A56" s="49"/>
    </row>
    <row r="57" spans="1:8" x14ac:dyDescent="0.25">
      <c r="A57" s="49"/>
    </row>
    <row r="58" spans="1:8" x14ac:dyDescent="0.25">
      <c r="A58" s="49"/>
    </row>
    <row r="61" spans="1:8" x14ac:dyDescent="0.25">
      <c r="A61" s="12"/>
    </row>
    <row r="62" spans="1:8" x14ac:dyDescent="0.25">
      <c r="A62" s="12"/>
    </row>
    <row r="63" spans="1:8" x14ac:dyDescent="0.25">
      <c r="A63" s="12"/>
    </row>
    <row r="66" spans="1:3" ht="15" x14ac:dyDescent="0.25">
      <c r="A66" s="114"/>
    </row>
    <row r="67" spans="1:3" x14ac:dyDescent="0.25">
      <c r="C67" s="28"/>
    </row>
    <row r="68" spans="1:3" ht="15" x14ac:dyDescent="0.25">
      <c r="A68" s="115"/>
    </row>
  </sheetData>
  <sheetProtection sheet="1" objects="1" scenarios="1"/>
  <mergeCells count="4">
    <mergeCell ref="Q9:T9"/>
    <mergeCell ref="B9:E9"/>
    <mergeCell ref="G9:J9"/>
    <mergeCell ref="L9:O9"/>
  </mergeCells>
  <hyperlinks>
    <hyperlink ref="F3" location="Notes!A1" display="Notes!A1" xr:uid="{00000000-0004-0000-0200-000000000000}"/>
    <hyperlink ref="F5" location="Notes!A1" display="Notes!A1" xr:uid="{00000000-0004-0000-0200-000001000000}"/>
    <hyperlink ref="F4" location="Notes!A1" display="Notes!A1" xr:uid="{00000000-0004-0000-0200-000002000000}"/>
    <hyperlink ref="F43" location="Notes!A1" display="Notes!A1" xr:uid="{EFAE59A8-8A60-4633-9B35-1035BAA13BEA}"/>
    <hyperlink ref="F6" location="Notes!A1" display="Notes!A1" xr:uid="{F4B16E77-6F29-4D31-A371-6CEC07B7B4BF}"/>
  </hyperlinks>
  <printOptions horizontalCentered="1" gridLines="1"/>
  <pageMargins left="0.2" right="0.2" top="0.75" bottom="0.5" header="0.3" footer="0.3"/>
  <pageSetup paperSize="17" scale="85" fitToHeight="100" orientation="landscape" r:id="rId1"/>
  <headerFooter>
    <oddHeader>&amp;C&amp;"-,Bold"&amp;20SWHV LCCC "Present Value"&amp;R&amp;18Page &amp;P of &amp;N</oddHeader>
    <oddFooter>&amp;L&amp;14DBEDT Hawaii State Energy Office&amp;R&amp;14January 22, 2020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50"/>
  <sheetViews>
    <sheetView topLeftCell="A10" zoomScale="110" zoomScaleNormal="110" workbookViewId="0">
      <selection activeCell="B2" sqref="B2"/>
    </sheetView>
  </sheetViews>
  <sheetFormatPr defaultColWidth="8.7109375" defaultRowHeight="12" x14ac:dyDescent="0.25"/>
  <cols>
    <col min="1" max="1" width="6.5703125" style="125" customWidth="1"/>
    <col min="2" max="2" width="87.5703125" style="84" customWidth="1"/>
    <col min="3" max="3" width="3.85546875" style="120" customWidth="1"/>
    <col min="4" max="16384" width="8.7109375" style="23"/>
  </cols>
  <sheetData>
    <row r="1" spans="1:4" x14ac:dyDescent="0.25">
      <c r="A1" s="119" t="s">
        <v>84</v>
      </c>
      <c r="B1" s="84" t="s">
        <v>98</v>
      </c>
      <c r="C1" s="120" t="s">
        <v>96</v>
      </c>
    </row>
    <row r="2" spans="1:4" ht="24" x14ac:dyDescent="0.25">
      <c r="A2" s="121" t="str">
        <f>"Note "&amp;C2</f>
        <v>Note 1</v>
      </c>
      <c r="B2" s="192" t="s">
        <v>139</v>
      </c>
      <c r="C2" s="120">
        <v>1</v>
      </c>
      <c r="D2" s="1"/>
    </row>
    <row r="3" spans="1:4" x14ac:dyDescent="0.2">
      <c r="A3" s="121"/>
      <c r="B3" s="150" t="s">
        <v>140</v>
      </c>
      <c r="D3" s="1"/>
    </row>
    <row r="4" spans="1:4" ht="24" customHeight="1" x14ac:dyDescent="0.25">
      <c r="A4" s="121" t="str">
        <f>"Note "&amp;C4</f>
        <v>Note 2</v>
      </c>
      <c r="B4" s="84" t="s">
        <v>134</v>
      </c>
      <c r="C4" s="120">
        <v>2</v>
      </c>
      <c r="D4" s="155"/>
    </row>
    <row r="5" spans="1:4" x14ac:dyDescent="0.25">
      <c r="A5" s="121"/>
      <c r="B5" s="122" t="s">
        <v>92</v>
      </c>
    </row>
    <row r="6" spans="1:4" x14ac:dyDescent="0.25">
      <c r="A6" s="121"/>
      <c r="B6" s="122" t="s">
        <v>93</v>
      </c>
    </row>
    <row r="7" spans="1:4" ht="24" x14ac:dyDescent="0.2">
      <c r="A7" s="121"/>
      <c r="B7" s="123" t="s">
        <v>94</v>
      </c>
    </row>
    <row r="8" spans="1:4" ht="60" x14ac:dyDescent="0.25">
      <c r="A8" s="121" t="str">
        <f t="shared" ref="A8:A24" si="0">"Note "&amp;C8</f>
        <v>Note 3</v>
      </c>
      <c r="B8" s="84" t="s">
        <v>97</v>
      </c>
      <c r="C8" s="120">
        <v>3</v>
      </c>
      <c r="D8" s="1"/>
    </row>
    <row r="9" spans="1:4" ht="27.6" customHeight="1" x14ac:dyDescent="0.25">
      <c r="A9" s="121" t="str">
        <f t="shared" si="0"/>
        <v>Note 4</v>
      </c>
      <c r="B9" s="84" t="s">
        <v>128</v>
      </c>
      <c r="C9" s="120">
        <v>4</v>
      </c>
    </row>
    <row r="10" spans="1:4" x14ac:dyDescent="0.2">
      <c r="A10" s="121"/>
      <c r="B10" s="150" t="s">
        <v>127</v>
      </c>
    </row>
    <row r="11" spans="1:4" ht="24" x14ac:dyDescent="0.25">
      <c r="A11" s="121" t="str">
        <f t="shared" si="0"/>
        <v>Note 5</v>
      </c>
      <c r="B11" s="84" t="s">
        <v>126</v>
      </c>
      <c r="C11" s="120">
        <v>5</v>
      </c>
    </row>
    <row r="12" spans="1:4" ht="24" x14ac:dyDescent="0.25">
      <c r="A12" s="121" t="str">
        <f t="shared" si="0"/>
        <v>Note 6</v>
      </c>
      <c r="B12" s="84" t="s">
        <v>135</v>
      </c>
      <c r="C12" s="120">
        <v>6</v>
      </c>
      <c r="D12" s="155"/>
    </row>
    <row r="13" spans="1:4" x14ac:dyDescent="0.25">
      <c r="A13" s="121"/>
      <c r="B13" s="122" t="s">
        <v>49</v>
      </c>
    </row>
    <row r="14" spans="1:4" ht="24" x14ac:dyDescent="0.25">
      <c r="A14" s="121" t="str">
        <f t="shared" si="0"/>
        <v>Note 7</v>
      </c>
      <c r="B14" s="192" t="s">
        <v>137</v>
      </c>
      <c r="C14" s="120">
        <v>7</v>
      </c>
      <c r="D14" s="155"/>
    </row>
    <row r="15" spans="1:4" x14ac:dyDescent="0.25">
      <c r="A15" s="121"/>
      <c r="B15" s="193" t="s">
        <v>50</v>
      </c>
    </row>
    <row r="16" spans="1:4" ht="14.45" customHeight="1" x14ac:dyDescent="0.25">
      <c r="A16" s="121" t="str">
        <f>"Note "&amp;C16</f>
        <v>Note 8</v>
      </c>
      <c r="B16" s="192" t="s">
        <v>136</v>
      </c>
      <c r="C16" s="120">
        <v>8</v>
      </c>
      <c r="D16" s="155"/>
    </row>
    <row r="17" spans="1:3" ht="48" x14ac:dyDescent="0.25">
      <c r="A17" s="121"/>
      <c r="B17" s="192" t="s">
        <v>138</v>
      </c>
    </row>
    <row r="18" spans="1:3" ht="36" x14ac:dyDescent="0.25">
      <c r="A18" s="121" t="str">
        <f t="shared" si="0"/>
        <v>Note 9</v>
      </c>
      <c r="B18" s="52" t="s">
        <v>103</v>
      </c>
      <c r="C18" s="120">
        <v>9</v>
      </c>
    </row>
    <row r="19" spans="1:3" ht="48" x14ac:dyDescent="0.25">
      <c r="A19" s="121" t="str">
        <f t="shared" si="0"/>
        <v>Note 10</v>
      </c>
      <c r="B19" s="84" t="s">
        <v>133</v>
      </c>
      <c r="C19" s="120">
        <v>10</v>
      </c>
    </row>
    <row r="20" spans="1:3" x14ac:dyDescent="0.25">
      <c r="A20" s="121"/>
      <c r="B20" s="122" t="s">
        <v>83</v>
      </c>
    </row>
    <row r="21" spans="1:3" ht="27.6" customHeight="1" x14ac:dyDescent="0.25">
      <c r="A21" s="121" t="str">
        <f t="shared" si="0"/>
        <v>Note 11</v>
      </c>
      <c r="B21" s="52" t="s">
        <v>90</v>
      </c>
      <c r="C21" s="120">
        <v>11</v>
      </c>
    </row>
    <row r="22" spans="1:3" ht="36" x14ac:dyDescent="0.25">
      <c r="A22" s="121" t="str">
        <f t="shared" si="0"/>
        <v>Note 12</v>
      </c>
      <c r="B22" s="84" t="s">
        <v>99</v>
      </c>
      <c r="C22" s="120">
        <v>12</v>
      </c>
    </row>
    <row r="23" spans="1:3" x14ac:dyDescent="0.25">
      <c r="A23" s="121"/>
      <c r="B23" s="122" t="s">
        <v>83</v>
      </c>
    </row>
    <row r="24" spans="1:3" ht="36" x14ac:dyDescent="0.25">
      <c r="A24" s="121" t="str">
        <f t="shared" si="0"/>
        <v>Note 13</v>
      </c>
      <c r="B24" s="84" t="s">
        <v>108</v>
      </c>
      <c r="C24" s="120">
        <v>13</v>
      </c>
    </row>
    <row r="25" spans="1:3" x14ac:dyDescent="0.25">
      <c r="A25" s="121"/>
      <c r="B25" s="124" t="s">
        <v>82</v>
      </c>
    </row>
    <row r="26" spans="1:3" ht="61.5" customHeight="1" x14ac:dyDescent="0.25">
      <c r="A26" s="121" t="str">
        <f>"Note "&amp;C26</f>
        <v>Note 14</v>
      </c>
      <c r="B26" s="84" t="s">
        <v>118</v>
      </c>
      <c r="C26" s="120">
        <v>14</v>
      </c>
    </row>
    <row r="27" spans="1:3" ht="36" x14ac:dyDescent="0.25">
      <c r="A27" s="121" t="str">
        <f>"Note "&amp;C27</f>
        <v>Note 15</v>
      </c>
      <c r="B27" s="84" t="s">
        <v>102</v>
      </c>
      <c r="C27" s="120">
        <v>15</v>
      </c>
    </row>
    <row r="28" spans="1:3" x14ac:dyDescent="0.2">
      <c r="A28" s="121"/>
      <c r="B28" s="150" t="s">
        <v>125</v>
      </c>
    </row>
    <row r="29" spans="1:3" ht="24" x14ac:dyDescent="0.25">
      <c r="A29" s="121" t="str">
        <f>"Note "&amp;C29</f>
        <v>Note 16</v>
      </c>
      <c r="B29" s="121" t="s">
        <v>104</v>
      </c>
      <c r="C29" s="120">
        <v>16</v>
      </c>
    </row>
    <row r="30" spans="1:3" ht="99.95" customHeight="1" x14ac:dyDescent="0.25">
      <c r="A30" s="121" t="s">
        <v>119</v>
      </c>
      <c r="B30" s="121" t="s">
        <v>121</v>
      </c>
    </row>
    <row r="31" spans="1:3" ht="62.1" customHeight="1" x14ac:dyDescent="0.25">
      <c r="A31" s="121" t="s">
        <v>120</v>
      </c>
      <c r="B31" s="121" t="s">
        <v>122</v>
      </c>
    </row>
    <row r="32" spans="1:3" x14ac:dyDescent="0.25">
      <c r="A32" s="121"/>
      <c r="B32" s="121"/>
    </row>
    <row r="33" spans="1:1" x14ac:dyDescent="0.25">
      <c r="A33" s="121"/>
    </row>
    <row r="34" spans="1:1" x14ac:dyDescent="0.25">
      <c r="A34" s="121"/>
    </row>
    <row r="35" spans="1:1" x14ac:dyDescent="0.25">
      <c r="A35" s="121"/>
    </row>
    <row r="36" spans="1:1" x14ac:dyDescent="0.25">
      <c r="A36" s="121"/>
    </row>
    <row r="37" spans="1:1" x14ac:dyDescent="0.25">
      <c r="A37" s="121"/>
    </row>
    <row r="38" spans="1:1" x14ac:dyDescent="0.25">
      <c r="A38" s="121"/>
    </row>
    <row r="39" spans="1:1" x14ac:dyDescent="0.25">
      <c r="A39" s="121"/>
    </row>
    <row r="40" spans="1:1" x14ac:dyDescent="0.25">
      <c r="A40" s="121"/>
    </row>
    <row r="41" spans="1:1" x14ac:dyDescent="0.25">
      <c r="A41" s="121"/>
    </row>
    <row r="42" spans="1:1" x14ac:dyDescent="0.25">
      <c r="A42" s="121"/>
    </row>
    <row r="43" spans="1:1" x14ac:dyDescent="0.25">
      <c r="A43" s="121"/>
    </row>
    <row r="44" spans="1:1" x14ac:dyDescent="0.25">
      <c r="A44" s="121"/>
    </row>
    <row r="45" spans="1:1" x14ac:dyDescent="0.25">
      <c r="A45" s="121"/>
    </row>
    <row r="46" spans="1:1" x14ac:dyDescent="0.25">
      <c r="A46" s="121"/>
    </row>
    <row r="47" spans="1:1" x14ac:dyDescent="0.25">
      <c r="A47" s="121"/>
    </row>
    <row r="48" spans="1:1" x14ac:dyDescent="0.25">
      <c r="A48" s="121"/>
    </row>
    <row r="49" spans="1:1" x14ac:dyDescent="0.25">
      <c r="A49" s="121"/>
    </row>
    <row r="50" spans="1:1" x14ac:dyDescent="0.25">
      <c r="A50" s="121"/>
    </row>
  </sheetData>
  <sheetProtection sheet="1" objects="1" scenarios="1"/>
  <phoneticPr fontId="5" type="noConversion"/>
  <hyperlinks>
    <hyperlink ref="B15" r:id="rId1" xr:uid="{00000000-0004-0000-0300-000000000000}"/>
    <hyperlink ref="B25" r:id="rId2" xr:uid="{00000000-0004-0000-0300-000001000000}"/>
    <hyperlink ref="B13" r:id="rId3" xr:uid="{00000000-0004-0000-0300-000003000000}"/>
    <hyperlink ref="B20" r:id="rId4" xr:uid="{00000000-0004-0000-0300-000004000000}"/>
    <hyperlink ref="B5" r:id="rId5" xr:uid="{00000000-0004-0000-0300-000005000000}"/>
    <hyperlink ref="B6" r:id="rId6" xr:uid="{00000000-0004-0000-0300-000006000000}"/>
    <hyperlink ref="B23" r:id="rId7" xr:uid="{00000000-0004-0000-0300-000002000000}"/>
    <hyperlink ref="B28" r:id="rId8" xr:uid="{AB5AC0B5-FB41-47C4-B989-C16EFBA4DA85}"/>
    <hyperlink ref="B10" r:id="rId9" display="https://view.officeapps.live.com/op/view.aspx?src=https%3A%2F%2Fwww.energy.gov%2Fsites%2Fdefault%2Ffiles%2F2023-06%2Ffemp-solar-hot-water-system-calculator-june-2023.xlsx&amp;wdOrigin=BROWSELINK" xr:uid="{CF88A5AC-9A58-4203-8F60-080E0CA8866E}"/>
    <hyperlink ref="B3" r:id="rId10" display="https://www.socalgas.com/sites/default/files/2025-02/SoCalGas-Residential-Solar-Thermal-Water-Heater-Rebate-Application-2025.pdf" xr:uid="{E0EEF98B-5DC9-4C12-9421-B8651D25A6DF}"/>
  </hyperlinks>
  <pageMargins left="0.5" right="0.5" top="0.4" bottom="0.4" header="0.3" footer="0.2"/>
  <pageSetup orientation="portrait" r:id="rId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9EA50F546E9F4D93657D705248D40B" ma:contentTypeVersion="9" ma:contentTypeDescription="Create a new document." ma:contentTypeScope="" ma:versionID="9af383e83d7bd595ea936b256d406b4a">
  <xsd:schema xmlns:xsd="http://www.w3.org/2001/XMLSchema" xmlns:xs="http://www.w3.org/2001/XMLSchema" xmlns:p="http://schemas.microsoft.com/office/2006/metadata/properties" xmlns:ns2="a04529f4-ee7f-43ba-8099-ba18f8732ae0" xmlns:ns3="ba8e7422-10da-40f4-87d4-d1903e4ca04b" targetNamespace="http://schemas.microsoft.com/office/2006/metadata/properties" ma:root="true" ma:fieldsID="518c64856915853a9de9db44ecda22b9" ns2:_="" ns3:_="">
    <xsd:import namespace="a04529f4-ee7f-43ba-8099-ba18f8732ae0"/>
    <xsd:import namespace="ba8e7422-10da-40f4-87d4-d1903e4ca04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529f4-ee7f-43ba-8099-ba18f8732a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8e7422-10da-40f4-87d4-d1903e4ca04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D8301E-4F22-4EA7-8CB5-A5EB56B3D18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04529f4-ee7f-43ba-8099-ba18f8732ae0"/>
    <ds:schemaRef ds:uri="http://purl.org/dc/elements/1.1/"/>
    <ds:schemaRef ds:uri="http://schemas.microsoft.com/office/2006/metadata/properties"/>
    <ds:schemaRef ds:uri="ba8e7422-10da-40f4-87d4-d1903e4ca04b"/>
    <ds:schemaRef ds:uri="http://www.w3.org/XML/1998/namespace"/>
    <ds:schemaRef ds:uri="http://purl.org/dc/dcmitype/"/>
  </ds:schemaRefs>
</ds:datastoreItem>
</file>

<file path=customXml/itemProps2.xml><?xml version="1.0" encoding="utf-8"?>
<ds:datastoreItem xmlns:ds="http://schemas.openxmlformats.org/officeDocument/2006/customXml" ds:itemID="{D9BFAD80-5402-490B-AA2E-CF56F57BA3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529f4-ee7f-43ba-8099-ba18f8732ae0"/>
    <ds:schemaRef ds:uri="ba8e7422-10da-40f4-87d4-d1903e4ca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8335D5-80CA-4120-8574-DBB4F31EF775}">
  <ds:schemaRefs>
    <ds:schemaRef ds:uri="http://schemas.microsoft.com/sharepoint/v3/contenttype/forms"/>
  </ds:schemaRefs>
</ds:datastoreItem>
</file>

<file path=docMetadata/LabelInfo.xml><?xml version="1.0" encoding="utf-8"?>
<clbl:labelList xmlns:clbl="http://schemas.microsoft.com/office/2020/mipLabelMetadata">
  <clbl:label id="{3847dec6-63b2-43f9-a6d0-58a40aaa1a10}" enabled="0" method="" siteId="{3847dec6-63b2-43f9-a6d0-58a40aaa1a1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46</vt:i4>
      </vt:variant>
    </vt:vector>
  </HeadingPairs>
  <TitlesOfParts>
    <vt:vector size="50" baseType="lpstr">
      <vt:lpstr>LCCC</vt:lpstr>
      <vt:lpstr>LookupTables</vt:lpstr>
      <vt:lpstr>PresentValue</vt:lpstr>
      <vt:lpstr>Notes</vt:lpstr>
      <vt:lpstr>bedroom_no</vt:lpstr>
      <vt:lpstr>COP_def</vt:lpstr>
      <vt:lpstr>discount_rate</vt:lpstr>
      <vt:lpstr>EF_def</vt:lpstr>
      <vt:lpstr>Energy_inflat</vt:lpstr>
      <vt:lpstr>energy_rate_kWh_def</vt:lpstr>
      <vt:lpstr>energy_rate_kWh_def_a</vt:lpstr>
      <vt:lpstr>energy_rate_kWh_ent</vt:lpstr>
      <vt:lpstr>energy_rate_therm_def</vt:lpstr>
      <vt:lpstr>energy_rate_therm_def_a</vt:lpstr>
      <vt:lpstr>energy_rate_therm_ent</vt:lpstr>
      <vt:lpstr>energy_to_heat_water_kWh_def</vt:lpstr>
      <vt:lpstr>energy_to_heat_water_kWh_ent</vt:lpstr>
      <vt:lpstr>energy_to_heat_water_therm_def</vt:lpstr>
      <vt:lpstr>energy_to_heat_water_therm_ent</vt:lpstr>
      <vt:lpstr>Equip_inflat</vt:lpstr>
      <vt:lpstr>ins_cost</vt:lpstr>
      <vt:lpstr>island_ent</vt:lpstr>
      <vt:lpstr>island_name</vt:lpstr>
      <vt:lpstr>maintain_pct_electric</vt:lpstr>
      <vt:lpstr>maintain_pct_gas</vt:lpstr>
      <vt:lpstr>maintain_pct_pump</vt:lpstr>
      <vt:lpstr>maintain_pct_solar</vt:lpstr>
      <vt:lpstr>LCCC!Print_Area</vt:lpstr>
      <vt:lpstr>Notes!Print_Area</vt:lpstr>
      <vt:lpstr>rebate_solar</vt:lpstr>
      <vt:lpstr>solar_cost</vt:lpstr>
      <vt:lpstr>solar_EF_def</vt:lpstr>
      <vt:lpstr>solar_EF_ent</vt:lpstr>
      <vt:lpstr>solar_life_span_def</vt:lpstr>
      <vt:lpstr>solar_life_span_ent</vt:lpstr>
      <vt:lpstr>solar_rebate</vt:lpstr>
      <vt:lpstr>tech_Costs</vt:lpstr>
      <vt:lpstr>tech_EF_def_a</vt:lpstr>
      <vt:lpstr>tech_EF_ent</vt:lpstr>
      <vt:lpstr>tech_energy_factor_def</vt:lpstr>
      <vt:lpstr>tech_ent</vt:lpstr>
      <vt:lpstr>tech_life_span_def</vt:lpstr>
      <vt:lpstr>tech_life_span_def_a</vt:lpstr>
      <vt:lpstr>tech_life_span_ent</vt:lpstr>
      <vt:lpstr>Tech_name</vt:lpstr>
      <vt:lpstr>tech_rebate</vt:lpstr>
      <vt:lpstr>Therm_inflat</vt:lpstr>
      <vt:lpstr>water_use_def</vt:lpstr>
      <vt:lpstr>water_use_def_a</vt:lpstr>
      <vt:lpstr>water_use_ent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2020-09-12T23:23:21Z</dcterms:created>
  <dcterms:modified xsi:type="dcterms:W3CDTF">2025-10-27T22:48:22Z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0x010100389EA50F546E9F4D93657D705248D40B</vt:lpwstr>
  </property>
</Properties>
</file>